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9345" windowWidth="15480" windowHeight="3165" activeTab="0"/>
  </bookViews>
  <sheets>
    <sheet name="Apzīmējumi" sheetId="1" r:id="rId1"/>
    <sheet name="Kopējā tabula" sheetId="2" r:id="rId2"/>
    <sheet name="Pašvaldību_detalizētie" sheetId="3" r:id="rId3"/>
    <sheet name="Pivot &amp; Kopsavilkums" sheetId="4" r:id="rId4"/>
    <sheet name="Data source" sheetId="5" r:id="rId5"/>
  </sheets>
  <definedNames>
    <definedName name="_xlnm._FilterDatabase" localSheetId="1" hidden="1">'Kopējā tabula'!$A$6:$R$108</definedName>
    <definedName name="_xlnm.Print_Titles" localSheetId="1">'Kopējā tabula'!$4:$6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<sst xmlns="http://schemas.openxmlformats.org/spreadsheetml/2006/main" count="722" uniqueCount="429">
  <si>
    <t>Finanšu novērtējuma aprēķini</t>
  </si>
  <si>
    <t>Ieņēmumi 2009.gadā</t>
  </si>
  <si>
    <t>Izmaksas 2009.gadā</t>
  </si>
  <si>
    <t>Esošie dati</t>
  </si>
  <si>
    <t>Institūcijas izmaksas</t>
  </si>
  <si>
    <t>Komersanta izmaksas</t>
  </si>
  <si>
    <t>Pānotie dati</t>
  </si>
  <si>
    <t>Ieņēmumu palielinājums / samazinājums gadā</t>
  </si>
  <si>
    <t>Investīciju izmaksas (vienreizējās)</t>
  </si>
  <si>
    <t>Ieteikumi</t>
  </si>
  <si>
    <t>Kopējais ietaupījums LVL</t>
  </si>
  <si>
    <t>Pieņēmumi</t>
  </si>
  <si>
    <t>Pieņēmumu apraksts</t>
  </si>
  <si>
    <t>Priekšlikumi kontrolējošo institūciju darbības uzlabošanai</t>
  </si>
  <si>
    <t>Vispārīgie priekšlikumi kontroles vides uzlabošana</t>
  </si>
  <si>
    <t>Ietekmes un komercdarbību izvērtēšana pie normatīvo aktu izstrādes</t>
  </si>
  <si>
    <t>Normatīvā regulējuma skaidrošana</t>
  </si>
  <si>
    <t>E-pakalpojumu izmantošanas un elektroniskās datu aprites veicināšana</t>
  </si>
  <si>
    <t>Priekšlikumi kontrolējošo institūciju funkciju optimizēšanai</t>
  </si>
  <si>
    <t>Vidi ietekmējošo darbību kontrolējošās institūcijas</t>
  </si>
  <si>
    <t>Atbrīvojumu no dabas resursu nodokļa administrējošās institūcijas</t>
  </si>
  <si>
    <t>Īpašuma datu un īpašumtiesību reģistrēšana</t>
  </si>
  <si>
    <t>Patentu valdes finansēšana</t>
  </si>
  <si>
    <t>Kultūras pieminekļu aizsardzības funkciju izpilde</t>
  </si>
  <si>
    <t>Komerciālo paziņojumu uzraudzība</t>
  </si>
  <si>
    <t>Pārvadājumu specifisko prasību kontroles organizēšana</t>
  </si>
  <si>
    <t>Fizisko personu kā saimnieciskās darbības veicēju reģistrācija</t>
  </si>
  <si>
    <t>Konfiscētu preču iznīcināšanas vides aspektu uzraudzība</t>
  </si>
  <si>
    <t>Augu aizsardzības līdzekļu atļauju izdošana</t>
  </si>
  <si>
    <t>Bīstamo iekārtu uzraudzība</t>
  </si>
  <si>
    <t>Priekšlikumi informācijas apmaiņas nodrošināšanai starp valsts institūcijām</t>
  </si>
  <si>
    <t>Valsts statistiskās informācijas apkopošana</t>
  </si>
  <si>
    <t>Vides statistiskā informācija</t>
  </si>
  <si>
    <t>Nekustamā īpašuma valsts kadastra datu pieejamība</t>
  </si>
  <si>
    <t>Priekšlikumi e-pakalpojumu ieviešanai un pilnveidošanai</t>
  </si>
  <si>
    <t>Ārējo tirdzniecību licenču administrēšana</t>
  </si>
  <si>
    <t>Importa (AGRIM) vai eksporta (AGREX) e-licences ieviešana</t>
  </si>
  <si>
    <t>Rūpnieciskā īpašuma aizsardzības procesa administrēšana e-vidē</t>
  </si>
  <si>
    <t>E-pakalpojumu un datu apmaiņas ieviešana vides aizsardzībā</t>
  </si>
  <si>
    <t>Priekšlikumi uzlabojumiem atsevišķās valsts institūcijās</t>
  </si>
  <si>
    <t>Akreditācijas sistēmas atzīšana Eiropā</t>
  </si>
  <si>
    <t>Elektroniskās deklarēšanas sistēma</t>
  </si>
  <si>
    <t>Zāļu ražošanas uzņēmuma licencēšanas paātrināšana</t>
  </si>
  <si>
    <t>Preču zīmju reģistrācija</t>
  </si>
  <si>
    <t>Ugunsdrošības obligāto pārbaužu skaita samazināšana</t>
  </si>
  <si>
    <t>Pārvadājumu pārkāpumu soda mēri</t>
  </si>
  <si>
    <t>Pārbaužu plānošana Valsts darba inspekcijā</t>
  </si>
  <si>
    <t>Pārbaužu plānošana Valsts ieņēmumu dienestā</t>
  </si>
  <si>
    <t>Muitas kodu atjaunināšana</t>
  </si>
  <si>
    <t>Pārbaudes nelegālās nodarbinātības novēršanai</t>
  </si>
  <si>
    <t>Pārbaužu plānošana Pārtikas un veterinārajā dienestā</t>
  </si>
  <si>
    <t>Pārbaužu plānošana Valsts vides dienestā</t>
  </si>
  <si>
    <t>Uzturu bagātinātāju un veterināro zāļu uzraudzība</t>
  </si>
  <si>
    <t>Konsultācijas darba drošībā</t>
  </si>
  <si>
    <t>Priekšlikumi izmaiņām izvirzītajās prasībās komersantiem</t>
  </si>
  <si>
    <t>6.1.</t>
  </si>
  <si>
    <t>Darbības uzsākšana – visi komersanti</t>
  </si>
  <si>
    <t>Komercreģistra datu pieejamība</t>
  </si>
  <si>
    <t>Informācijas publicēšana „Latvijas Vēstnesī”</t>
  </si>
  <si>
    <t>PVN reģistrācijas procedūra</t>
  </si>
  <si>
    <t>6.2.</t>
  </si>
  <si>
    <t>Darbības veikšana – visiem komersantiem</t>
  </si>
  <si>
    <t>Dabas resursu nodokļa atbrīvojumi par iepakojumu un vienreiz lietojamiem galda traukiem un piederumiem un videi kaitīgām precēm</t>
  </si>
  <si>
    <t>Akcīzes preču uzglabāšana</t>
  </si>
  <si>
    <t>Akcīzes nodokļa markas</t>
  </si>
  <si>
    <t>Pārskati par izlietotiem plombu numuriem</t>
  </si>
  <si>
    <t>Ārējas revīzijas nepieciešamības sliekšņu palielināšana</t>
  </si>
  <si>
    <t>Atkarības pārskata lietderība</t>
  </si>
  <si>
    <t>Reklāmu un izkārtņu izvietošanas saskaņošana</t>
  </si>
  <si>
    <t>Darba aizsardzības prasības</t>
  </si>
  <si>
    <t>Ugunsdrošības prasību pielāgošana starptautiskai praksei</t>
  </si>
  <si>
    <t>Atsevišķu ugunsdrošības prasību atcelšana</t>
  </si>
  <si>
    <t>Ugunsdzēsības aparātu uzturēšanas prasību atvieglošana</t>
  </si>
  <si>
    <t>Par ugunsdrošību atbildīgās personas norīkošana</t>
  </si>
  <si>
    <t>VUGD izstrādātas vadlīnijas vai konsultācijas ugunsdrošībai – it īpaši kultūras pieminekļos, kur nav iespējams nodrošināt visu prasību izpildi</t>
  </si>
  <si>
    <t>Preču marķēšana</t>
  </si>
  <si>
    <t>Civilās aizsardzības plāni</t>
  </si>
  <si>
    <t>Preču paraugu izņemšana pārbaudēm</t>
  </si>
  <si>
    <t>Atļauja degvielas izmantošanai apkurei</t>
  </si>
  <si>
    <t>Dzeramā ūdens monitorings</t>
  </si>
  <si>
    <t>Spirta iegāde un uzskaite</t>
  </si>
  <si>
    <t>Nozarēm specifiskie ieteikumi</t>
  </si>
  <si>
    <t>7.1.</t>
  </si>
  <si>
    <t>Pārtikas produktu ražošana (NACE 10)</t>
  </si>
  <si>
    <t>Darbinieku kvalifikācija pārtikas uzņēmumā</t>
  </si>
  <si>
    <t>Lauksaimniecības produktu ražošanas un patēriņa bilances iesniegšanas minimālā sliekšņa noteikšana</t>
  </si>
  <si>
    <t>7.2.</t>
  </si>
  <si>
    <t>Ēdināšanas pakalpojumi (NACE 56)</t>
  </si>
  <si>
    <t>Pārtikas preču marķējuma nodrošināšana</t>
  </si>
  <si>
    <t>HACCP (kvalitātes standarta) prasību atvieglojumi lauku virtuvēm</t>
  </si>
  <si>
    <t>Mērīšanas līdzekļu atbilstības nodrošināšana un pārbaudes</t>
  </si>
  <si>
    <t>Ēku būvniecība (NACE 41), inženierbūvniecība (NACE 42), specializētie būvdarbi (NACE 43)</t>
  </si>
  <si>
    <t>Būvkomersantu sertifikācija un reģistrācija</t>
  </si>
  <si>
    <t>Būvju uzmērīšanas nodošana privātajam tirgum</t>
  </si>
  <si>
    <t>Izziņas par zemes lietošanas mērķa noteikšanu vai maiņu obligātuma atcelšana</t>
  </si>
  <si>
    <t>Pašvaldības lēmuma par pirmpirkuma tiesībām ierobežošana</t>
  </si>
  <si>
    <t>Izziņas par samaksātu īpašuma nodokli atcelšana īpašuma reģistrācijas nolūkam</t>
  </si>
  <si>
    <t>Publiskās apspriešanas prasību precizēšana</t>
  </si>
  <si>
    <t>Būvniecības ieceres stadijas vienkāršošana</t>
  </si>
  <si>
    <t>Nepilnvērtīgi apsaimniekoto / nolaisto būvju sakārtošanas nosacījumu atvieglošana</t>
  </si>
  <si>
    <t>Koku ciršanas atļauju izsniegšanas termiņu samazināšana</t>
  </si>
  <si>
    <t>Sezonas tirdzniecības projektu saskaņojuma derīguma termiņa pagarināšana</t>
  </si>
  <si>
    <t>Arhitektu kvalifikācijas un atbildības paaugstināšana</t>
  </si>
  <si>
    <t>Ķīmisko vielu un ķīmisko produktu ražošana (NACE 20)</t>
  </si>
  <si>
    <t>Kosmētisko līdzekļu importa nosacījumi</t>
  </si>
  <si>
    <t>Farmaceitisko pamatvielu un farmaceitisko preparātu ražošana (NACE 21)</t>
  </si>
  <si>
    <t>Zāļu reģistrēšanas atvieglošana</t>
  </si>
  <si>
    <t>Vairumtirdzniecība, izņemot automobiļus un motociklus (NACE 46), mazumtirdzniecība, izņemot automobiļus un motociklus (NACE 47)</t>
  </si>
  <si>
    <t>Kases aparātu apkalpošana</t>
  </si>
  <si>
    <t>Kases čeku satura vienkāršošana</t>
  </si>
  <si>
    <t>Kases operāciju dokumentācijas optimizēšana</t>
  </si>
  <si>
    <t>Priekšlikumi izmaiņām prasībās darbības izbeigšanas posmā</t>
  </si>
  <si>
    <t>8.1.</t>
  </si>
  <si>
    <t>Visām nozarēm kopējie ieteikumi</t>
  </si>
  <si>
    <t>Administratoru atbildība</t>
  </si>
  <si>
    <t>Informācijas nodošana maksātnespējas administratoram</t>
  </si>
  <si>
    <t>Komercreģistra ierakstu izmaiņu paziņošana</t>
  </si>
  <si>
    <t>6.1.1.</t>
  </si>
  <si>
    <t>6.1.2.</t>
  </si>
  <si>
    <t>6.1.3.</t>
  </si>
  <si>
    <t>6.2.1.</t>
  </si>
  <si>
    <t>6.2.2.</t>
  </si>
  <si>
    <t>6.2.3.</t>
  </si>
  <si>
    <t>6.2.4.</t>
  </si>
  <si>
    <t>6.2.5.</t>
  </si>
  <si>
    <t>6.2.6.</t>
  </si>
  <si>
    <t>6.2.7.</t>
  </si>
  <si>
    <t>6.2.8.</t>
  </si>
  <si>
    <t>6.2.9.</t>
  </si>
  <si>
    <t>6.2.10.</t>
  </si>
  <si>
    <t>6.2.11.</t>
  </si>
  <si>
    <t>6.2.12.</t>
  </si>
  <si>
    <t>7.1.1.</t>
  </si>
  <si>
    <t>7.1.2.</t>
  </si>
  <si>
    <t>7.2.1.</t>
  </si>
  <si>
    <t>8.1.1.</t>
  </si>
  <si>
    <t>8.1.2.</t>
  </si>
  <si>
    <t>Ieteikuma ref. #</t>
  </si>
  <si>
    <t>Ieteikuma kategorija</t>
  </si>
  <si>
    <t>Vienkāršošanas veidi</t>
  </si>
  <si>
    <t>Atcelt, samazināt, apvienot vai uzlabot tiesību aktus</t>
  </si>
  <si>
    <t>Vienkāršot datu sniegšanas procesu</t>
  </si>
  <si>
    <t>Valsts pārvaldes institūciju savstarpēja datu apmaiņa</t>
  </si>
  <si>
    <t>Attīstīt uz IKT balstītus risinājumus un pakalpojumus</t>
  </si>
  <si>
    <t>Uzlabot informācijas sniegšanas vadlīnijas</t>
  </si>
  <si>
    <t>Ietekmes uz vidi novērtējuma jomā funkcijas atalgojuma izmaksas - 74598 Ls, Rūpniecisko avāriju riska jomā funkcijas atalgojuma izmaksas - 27998 Ls</t>
  </si>
  <si>
    <t>Plānotais samazinājums</t>
  </si>
  <si>
    <t>Kopējā izmaksu bāze</t>
  </si>
  <si>
    <t>Papildus rēķināmas 30% administratīvās izmaksas. Kopējais ietaupījums funkciju nodošanai VVD 20% no kopējām izmaksām.</t>
  </si>
  <si>
    <t>N/a</t>
  </si>
  <si>
    <t>No DRN atbrīvoto nodokļu maksātāju administrēšanai nodrošinātas 2 štata vietas - kopējais atalgojums 15923.62 Ls</t>
  </si>
  <si>
    <t>Personāla izmaksu samazinājums gadā</t>
  </si>
  <si>
    <t>Izmaksu samazinājums gadā</t>
  </si>
  <si>
    <t>Pārejot uz sistēmu, kad valsts nodeva par rūpnieciskā īpašuma aizsardzību tiek pārskaitīta Patentu valdei, mainās ieņēmumu saņēmējs. Ieņēmumi tiek novirzīti papildu izmaksu segšanai Patentu valdes darbības atbalstam.</t>
  </si>
  <si>
    <t>Nav precīzu datu par nododamajām funkcijām</t>
  </si>
  <si>
    <t>Kopējie Patentu valdes izdevumi 2008.gadā - 1 156 400 Ls. Nav informācijas par 2009.gada izdevumiem.</t>
  </si>
  <si>
    <t>Tiesu administrācijas izdevumi projektā netika analizēti. Funkciju nodošanas rezultātā var likvidēt 4 štata vietas.</t>
  </si>
  <si>
    <t>Funkcijas nodošanas rezultātā kopsummā likvidētas 4 štata vietas (4x420x12x1.2409=25 016 Ls). Papildus rēķināmi 30% administratīvie izdevumi. 20% plānotais ietaupījums no kopējām atalgojuma un administratīvajām izmaksām. Atsevišķas Zemesgrāmatu IS ikgadējās uzturēšanas izmaksas 100 000 Ls, jaunveidojamās Zemesgrāmatu IS izveides izmaksu ietaupījums 1 000 000 Ls, ja datu kopas pievieno Kadastra IS datu kopām, neveidojot jaunu sistēmu</t>
  </si>
  <si>
    <t>Plānoti vidēji 13 atzinumi gadā, kopā atalgojums 13x16.9=219.70 Ls. Papildu rēķināmi administratīvie izdevumi 30%. 20% plānotais ietaupījums.</t>
  </si>
  <si>
    <t>Funkcijas izpildei DVI tērētas 1.45 štata vietas, kas sastāda 765.60 Ls gadā.</t>
  </si>
  <si>
    <t>Funkcijas nodošanas rezultātā papildu rēķināmi 30% administratīvie izdevumi. 20% plānotais ietaupījums.</t>
  </si>
  <si>
    <t>M</t>
  </si>
  <si>
    <t>V</t>
  </si>
  <si>
    <t>D</t>
  </si>
  <si>
    <t>IT</t>
  </si>
  <si>
    <t>IF</t>
  </si>
  <si>
    <t>Administratīvo izmaksu samazinājums gadā</t>
  </si>
  <si>
    <t>Uzturēšanas izdevumu samazinājums</t>
  </si>
  <si>
    <t>Īpašumtiesību reģistrācija netika iekļauta pētījuma apjomā</t>
  </si>
  <si>
    <t>Pārbaužu izmaksas (atalgojums, komandējuma izdevumi, telpu noma, a/m izmaksas, formas tērpi, nemateriālie ieguldījumi) 293674 Ls, pārskatu pārbaudei - 50 Ls.</t>
  </si>
  <si>
    <t>n/a</t>
  </si>
  <si>
    <t>2009.gadā reģistrētas 8538 personas, veidojot 138230 Ls</t>
  </si>
  <si>
    <t>2009.gadā izdoti 2 atzinumi</t>
  </si>
  <si>
    <t>Funkcija likvidējama</t>
  </si>
  <si>
    <t>2009.gadā izskatīti 108 pieteikumi, izsniegtas 31 atļauja un pārreģistrētas 39 atļaujas. Kopējās izmaksas (ieskaitot administratīvos izdevumus) 6398</t>
  </si>
  <si>
    <t>Neiesaistot ZM atļauju izsniegšanā, kopējais ietaupījums 10% no kopējām izmaksām</t>
  </si>
  <si>
    <t>Nav ietekmes</t>
  </si>
  <si>
    <t>2009.gadā 13 atzinumi, izmaksas 219.70 Ls.</t>
  </si>
  <si>
    <t>Samazinot kopējo sniedzamo statistisko datu apjomu (pārskatu skaits, biežums, datu iegūšana no citām institūcijām) kopējais ietaupījums izmaksas 20%. Administratīvo izmaksu rēķināmā proporcija 15%.</t>
  </si>
  <si>
    <t>Uz vienu pārskatu vidēji 3h, likme 5 Ls stundā</t>
  </si>
  <si>
    <t>Samazinoties no komersantiem pieprasīto datu apjoms, izmaksu ietaupījums 30%</t>
  </si>
  <si>
    <t>2009.gadā CSP saņemti un apstrādāti 118402 pārskati, veidojot izmaksas 514745 Ls apmērā, LB saņemti 8240 pārskati, veidojot 95500 izmaksas Ls apmērā, LAD sa;nemti 203 pārskati, izmaksas 142 Ls</t>
  </si>
  <si>
    <t>LVĢMC datubāzēs iesniegti 8622 pārskati, veidojot izmaksas 21709 Ls apmērā.</t>
  </si>
  <si>
    <t>Pārskatot un samazinot kopējo sniedzamo datu apjomu (pārskatu datu apjoms) kopējais ietaupījums institucijas pusē būtu 10%</t>
  </si>
  <si>
    <t>Kadastra datu pieejamība aizstātu kadastra informācijas pieprasīšanu no komersantiem pašvaldībās: 50 rajonu pilsētas - 2500 pakalpojumi gadā, 7 republikas pilsētas 2000 pakalpojumi gadā, 41 novads 800 pakalpojumi gadā, 424 pagasti - 4300 pakalpojumi gadā. Ietaupījums datus skatot Kadastra IS, nevis dokumentos 1h = 5 Ls.</t>
  </si>
  <si>
    <t>Dati pieejami tikai par 5 pašvaldībām</t>
  </si>
  <si>
    <t>Dokumentu sagatavošana un iesniegšana un atbildes saņemšana tālākai iesniegšanai 3h * 5 Ls = 15 Ls uz vienu pakalpojumu</t>
  </si>
  <si>
    <t>Ārējo tirdzniecības licenču tirdzniecības administrēšana sastāda 1.5 slodzes jeb 890 Ls mēnesī.</t>
  </si>
  <si>
    <t>Elektronizējot dokumentu pieņemšanu un apstrādi, ietaupījums būtu 20%. Papildu aprēķināmi administratīvo izdevumu 30% ietaupījums par 20%</t>
  </si>
  <si>
    <t>Atzinums būvdarbu veikšanai aizsargjoslu teritorijās</t>
  </si>
  <si>
    <t>Dokumentu sagatavošana un iesniegšana un atbildes saņemšana tālākai iesniegšanai 3h * 5 Ls = 15 Ls uz vienu licenci. Gadā vidēji 2000 licences</t>
  </si>
  <si>
    <t>Licenču administrēšanai LAD ik gadu tērē vidēji 25 000 Ls.</t>
  </si>
  <si>
    <t>Ieviešot e-licenci un nodrošinot datu apmaiņu ar VID Muitas pārvaldi, izmaksu ietaupījums būtu 15%.</t>
  </si>
  <si>
    <t>Dokumentu sagatavošana un iesniegšana un atbildes saņemšana tālākai iesniegšanai 3h * 5 Ls = 15 Ls uz vienu licenci. Gadā vidēji 400 licences</t>
  </si>
  <si>
    <t>Patentu, preču zīmju un dizainparaugu reģistrācijas procesa izmaksas 293718 Ls</t>
  </si>
  <si>
    <t>Ieviešot e-pakalpojumus, iespējamais ietaupījums būtu 20%, papildus rēķināmi 30% administratīvie izdevumi</t>
  </si>
  <si>
    <t>VVD veiktās darbības atļauju izdošanā, pārskatu izskatīšanā, pārbaužu veikšanā veido 6 254 883 Ls.</t>
  </si>
  <si>
    <t>Ieviešot IT sistēmu darbības atbalstam un nodrošinot e-pakalpojumu sniegšanu, izmaksu ietaupījums 20%</t>
  </si>
  <si>
    <t>Dokumentu sagatavošana un iesniegšana un atbildes saņemšana tālākai iesniegšanai 3h * 5 Ls = 15 Ls uz vienu licenci. Gadā vidēji 2500 pieteikumi atļaujām, licencēm, pasēm utt.</t>
  </si>
  <si>
    <t>Dokumentu sagatavošana un iesniegšana un atbildes saņemšana tālākai iesniegšanai 5h * 5 Ls = 25 Ls uz vienu licenci. Gadā vidēji 3000 pieteikumi reģistrācijai</t>
  </si>
  <si>
    <t>Ja neEDS iesniegtie dokumenti tiktu iesniegti EDS par nodokļu pārskatiem un vispārējo reģistrāciju, tad izmaksu ietaupījums būtu 232 450 Ls</t>
  </si>
  <si>
    <t>Veicinot EDS lietošanu, 50% no neEDS tiktu snegti caur EDS</t>
  </si>
  <si>
    <t>Nav rerezentatīvu datu aprēķinu veikšanai</t>
  </si>
  <si>
    <t>Iesaldētas investīcijas 100 000 Ls gadā, 5% zaudējumi gadā, 10 uzņēmumi gadā</t>
  </si>
  <si>
    <t>Nav kvantificējams</t>
  </si>
  <si>
    <t>VUGD izdevumi 2009.gadā 744884 Ls, gan ugunsdrošība, gan civilā aizsardzība</t>
  </si>
  <si>
    <t>Samazinot pārbaužu skaitu, kopējie izdevumi samazinātos par 10%</t>
  </si>
  <si>
    <t>2009.gadā veiktas 5472 pārbaudes komercuzņēmumos. Kopējo pārbaužu skaitu samazinot par 10%. Izmaksas uz 1 pārbaudi 8h*10Ls</t>
  </si>
  <si>
    <t>VDI izdevumi 2009.gadā pārbaudēm 303939 Ls</t>
  </si>
  <si>
    <t>Pieņemot, ka no visām 12189 pārbaudēm 2009.gadā 70% (8532) veikti komercuzņēmumos, samazinot pārbaužu skaitu par 10%. Izmaksas uz 1 pārbaudi 12h*10 Ls</t>
  </si>
  <si>
    <t>VID 2514 Muitas pārbaude - 23729 Ls, 31475 Kontroles pārbaudes - 54 279 009 Ls</t>
  </si>
  <si>
    <t>2009.gadā veiktas 34000 pārbaudes, samazinot skaitu par 10%. Izmaksas uz 1 pārbaudi 24h*10 Ls</t>
  </si>
  <si>
    <t>Nav kvanitificējams</t>
  </si>
  <si>
    <t>Pieņemot, ka no visām 4996 VDI pārbaudēm par nereģistrēto nodarbinātību, VID atkārtoti pārbauda 10% šos komersantus. Ja veiktu kopā, izmaksu ietaupījums komersantam papildus pārbaudei uz 1 pārbaudi 12h*10 Ls</t>
  </si>
  <si>
    <t>2009.gadā veiktas 15780 pārbaudes, samazinot skaitu par 10%. Izmaksas uz 1 pārbaudi 16h*5 Ls</t>
  </si>
  <si>
    <t>Nav kvantificējams, jo nav pieejami konkrēti dati par aptieku skaitu, kuros tirgotu visus 3 produktu veidus un kontorlētu gan PVD, gan VI</t>
  </si>
  <si>
    <t>2009.gadā reģistrēti 9046 jauni komersanti, kuriem jāizpilda darba drošības prasības, 60% izmantotu VDI konsultācijuas, ietaupītās izmaksas 100 Ls</t>
  </si>
  <si>
    <t>2000 iestādes, 3 izziņas gadā, 2 Ls par izziņu = 12000, Komersanta reģistrācijas numurs, ne apliecība 9000 jaunu komersantu gadā 2h izņemt apliecību , 5Ls stundā = 90000</t>
  </si>
  <si>
    <t>2009.gadā reģistrēti 9043 jauni komersanti</t>
  </si>
  <si>
    <t>9000 jaunu komersantu gadā, apliecības sagatavošana un izdošana 2h (visa reģistrācija 113.76 Ls, t.sk. apliecības sagatavošana un izdošana 10 Ls)</t>
  </si>
  <si>
    <t>2009.gadā par LV publikacijām komersanti samaksājuši aptuveni 667000 Ls. Nodrošinot UR ar iespēju izvietot informāciju savā mājas lapā izmaksas samazinātos par 50%</t>
  </si>
  <si>
    <t>Ārpakalpojums</t>
  </si>
  <si>
    <t>2009.gadā izdotas 16217 apliecības. Reģistrācijas procedūra atlīdzība 3.23 Ls uz vienu iesniegumu, admin 3691 Ls kopā 56071.91 Ls</t>
  </si>
  <si>
    <t>Neveicot pirmspārbaudes un neizdodot apliecību, ietaupījums 40%.</t>
  </si>
  <si>
    <t>16000 jauni PVN maksātāji gadā, 2h saņemt apliecību, 5Ls stundā</t>
  </si>
  <si>
    <t>2009.gada LVAFA izmaksas visas administrēšanas nodrošināšanai 15924 Ls</t>
  </si>
  <si>
    <t>Atceļot ceturkšņa un pusgada pārskatus, izmaksu ietaupījums 40%, Administratīvie izdevumi 30%</t>
  </si>
  <si>
    <t>2009.gadā iesniegtas 150 ceturkšņa atskaites (sagatavošana un iesniegšana 5h*5Ls=25 Ls), 58 pusgada atskaites (sagatavošana un iesniegšana 8h*5Ls=40 Ls)</t>
  </si>
  <si>
    <t>Nav tieši kvantificējams</t>
  </si>
  <si>
    <t>Nav tieši kvantificējams 5-10% izmaksu ietaupījums</t>
  </si>
  <si>
    <t>2009.gadā iesniegti 654 pārskati, t.sk. 454 caur EDS (izmaksas 454*3.23Ls) un 200 papīrā (izmaksas 200*0.25). Admin. Izmaksas 3691 Ls</t>
  </si>
  <si>
    <t>Samazinot pārskatu biežumu uz 1 x ceturksnī (302 pārskati caur EDS, 133 papīrā)</t>
  </si>
  <si>
    <t>Iesniedzot ceturkšņa pārskatus caurs EDS izmaksas 1h*5Ls, papīrā 3h*5</t>
  </si>
  <si>
    <t>500 komersantiem nebūtu jāveic revīzija, revīzijas vidējās izmaksas 2000 Ls</t>
  </si>
  <si>
    <t>100 komersantiem nav jāgatavo pārskats 700 Ls</t>
  </si>
  <si>
    <t>Rīga</t>
  </si>
  <si>
    <t>50 rajonu pilsētas</t>
  </si>
  <si>
    <t>41 novads</t>
  </si>
  <si>
    <t>424 pagasti</t>
  </si>
  <si>
    <t>Nesaskaņojamo reklāmu skaits</t>
  </si>
  <si>
    <t>Izmaksas uz 1 vien.</t>
  </si>
  <si>
    <t>Nodeva uz 1 vienību</t>
  </si>
  <si>
    <t>Nesaskaņojamo izkārtņu skaits</t>
  </si>
  <si>
    <t>Nodeva uz 1 vien.</t>
  </si>
  <si>
    <t>Pārējās 6 republikas pilsētas</t>
  </si>
  <si>
    <t>Kopējās izmaksas pašvaldībai</t>
  </si>
  <si>
    <t>Kopējās nodevas komersantiem</t>
  </si>
  <si>
    <t>KOPĀ</t>
  </si>
  <si>
    <t>Kopā pašvaldības</t>
  </si>
  <si>
    <t>Kopā komersanti</t>
  </si>
  <si>
    <t>Reklāmas</t>
  </si>
  <si>
    <t>Izkārtnes</t>
  </si>
  <si>
    <t>Ja atceļ saskaņojumu kopā reklāmas 7040, izkārtnes 5930, kas nav jāsaskaņo, izmaksas dažāda lieluma pašvaldībās dažādas, admin +10%</t>
  </si>
  <si>
    <t>Ja atceļ saskaņojumu, nodevas mazāk 164 900, saskaņošanas izdevumi 103760</t>
  </si>
  <si>
    <t>9000 jauni komersanti gadā, izmaksu samazinājums no jauna veidojot prasību ievērošanas sistēmu 200 Ls, 20000 komersantiem darba drošības prasību regulāro izmaksu samazinājums 50 Ls gadā</t>
  </si>
  <si>
    <t>Papildus analīze</t>
  </si>
  <si>
    <t>9000 jauni komersanti gadā, paaugstināta riska 100 gadā, izmaksu samazinājums 300 Ls</t>
  </si>
  <si>
    <t>Nav tiešas ietekmes</t>
  </si>
  <si>
    <t>9000 jauni komersanti gadā, 1000 uzņēmumiem izmaksu samazinājums par 300 Ls</t>
  </si>
  <si>
    <t>Nav preču vērtības aprēķina veikšanai</t>
  </si>
  <si>
    <t>147 izziņas pārreģistrētas 2009.gadā, 9.65 Ls vienai darbībai</t>
  </si>
  <si>
    <t>Nodrošinot veidlapu elektroniski, izmaksu samazinājums 50%</t>
  </si>
  <si>
    <t>147 reizes gadā, izmaksas pieprasīšanai un saņemšanai 5h*5 ls</t>
  </si>
  <si>
    <t>2000 uzņēmumi, izmaksu samazinājums katram 50 Ls</t>
  </si>
  <si>
    <t>1000 uzņēmumi, pašreiz izmaksas 700 Ls gadā uzskaitei un inventarizācijai, 100 uzņēmumi 50 Ls licences saņemšanai (ieskaitot da), samazinājums 70% gadā</t>
  </si>
  <si>
    <t>100 uzņēmumiem nevajag licenci, 9.65 Ls uz 1 darbību</t>
  </si>
  <si>
    <t>7815 Ls 2009.gadā tērēti info iegūšanai un apstrādei</t>
  </si>
  <si>
    <t>Samazinot iesniedzēju loku, ietaupījums 20%, 30%admin</t>
  </si>
  <si>
    <t>203 pārskati, 20% netiks iesniegti izmaksas 2h*5Ls</t>
  </si>
  <si>
    <t>Nav datu</t>
  </si>
  <si>
    <t>Nav datu 30-40% izmaksu</t>
  </si>
  <si>
    <t>nav nosakāms jo atkarīgs no darbības vietas</t>
  </si>
  <si>
    <t>10000 mērīšanas līdzekļu, uz katru 8 Ls, izmaksu samazinājums 15%</t>
  </si>
  <si>
    <t>EM nav ietekmes, jo neveic sertifikāciju</t>
  </si>
  <si>
    <t>Nav pētīti dati par sertifikāciju, ārpus apjoma</t>
  </si>
  <si>
    <t>2009.gadā funkcijas izmaksas 2.23 mlj. Ls</t>
  </si>
  <si>
    <t>Nododot privātajam sektoram, paliek tikai izmaksas mērnieku darba uzraudzībai 140000 Ls gadā</t>
  </si>
  <si>
    <t>Reklāmas  / izkārtnes</t>
  </si>
  <si>
    <t>Izziņa par zemes mērķi</t>
  </si>
  <si>
    <t>Skaits</t>
  </si>
  <si>
    <t>Izmaksas</t>
  </si>
  <si>
    <t>Kopā skaits</t>
  </si>
  <si>
    <t>Kopā izmaksas pašvaldībai</t>
  </si>
  <si>
    <t>Nodeva + pieprasīšana / saņemšana</t>
  </si>
  <si>
    <t>Kopā izmaksas komersantam</t>
  </si>
  <si>
    <t>Izmaksas izziņai 5 Ls, kopā 4255 izziņas gadā valstī, admin 10%</t>
  </si>
  <si>
    <t>Komersantiem 4255 izziņas, 5Ls nodeva, (2h) 10 Ls pieprasīšanai / saņemšanai</t>
  </si>
  <si>
    <t>Pirmpirkuma tiesības</t>
  </si>
  <si>
    <t>Izmaksas lēmumam dažādi pa pilsētām, kopā 4830 gadījumi, samazinājums 80% (tikai 20% gadījumu pašvaldībai būtu interese), admin 10%</t>
  </si>
  <si>
    <t>Komersantiem 4830 (80% nevajag), 4h sagatavošanai iesniegšanai, saņemšanai 5Ls stundā</t>
  </si>
  <si>
    <t>Izziņa par īp nodokli</t>
  </si>
  <si>
    <t>Neizsniedzot 27530 izziņas,, ietaupītu 19271 Ls (0.70 Ls uz vienu izziņu), 10% admin</t>
  </si>
  <si>
    <t>Būvniecības iecere</t>
  </si>
  <si>
    <t>Dokumentu sagatavošana</t>
  </si>
  <si>
    <t>Uz 6882 gadījumiem, izmaksas 2246400 Ls, ietaupījums 60%, admin 10%</t>
  </si>
  <si>
    <t>Komersantiem dokumentu gatavošana vidēji 700 Ls, 6882 gadījumi, ietaupījums 50%</t>
  </si>
  <si>
    <t>Pieņemot, ka tiek saskaņoti 500 sezonas tirdzniecības objekti, izmaksas 70Ls uz katru, samazinājums 50% (nemaina projektu katru gadu)</t>
  </si>
  <si>
    <t>250 komersantiem nav jāsaskaņo projekts, dokumentu sagatavošana un iesniegšana 200Ls</t>
  </si>
  <si>
    <t>Bez papildu analīzes nav nosakāms</t>
  </si>
  <si>
    <t>500 zāles reģistrētas, saraksta sagatavošana un iesniegšana 16h*5</t>
  </si>
  <si>
    <t>2009.gadā 10762 kases aparāti, izmaksas vidēji 500 Ls gadā, ietaupījums 10%</t>
  </si>
  <si>
    <t>2009.gadā 10762 kases aparāti, čeku lenets 40 Ls gadā, programmēšana satura dēļ 100 Ls gadā. Ietaupījums 10%</t>
  </si>
  <si>
    <t>1009.gadā 10762 kases aparāti, 240h gadā *2 Ls</t>
  </si>
  <si>
    <t>1500 maksātnespējas pieteikumi gadā, atkārtota dokumentu iesniegšana 5h*10 Ls</t>
  </si>
  <si>
    <t>Nav samazinājums</t>
  </si>
  <si>
    <t>Ieteikuma ID</t>
  </si>
  <si>
    <t>Ieteikums</t>
  </si>
  <si>
    <t>Institūcijai</t>
  </si>
  <si>
    <t>Komersantam</t>
  </si>
  <si>
    <t>Row Labels</t>
  </si>
  <si>
    <t>Grand Total</t>
  </si>
  <si>
    <t>Values</t>
  </si>
  <si>
    <t>Kopējais izmaksu ietaupījums komersantiem, LVL</t>
  </si>
  <si>
    <t>Kopējais izmaksu ietaupījums kontrolējošām institūcijām, LVL</t>
  </si>
  <si>
    <t>Kopā</t>
  </si>
  <si>
    <t>Count of Institūcijai</t>
  </si>
  <si>
    <t>Count of Komersantam</t>
  </si>
  <si>
    <t>Ieteikumu skaits</t>
  </si>
  <si>
    <t>Nav tieši rēķināmss, jo ir interpretācija, cik daudz no saskaņotajiem projektiem tiks arī nākamgad doti uz saskaņošanu</t>
  </si>
  <si>
    <t>Nav nosakāms bez papildu analīzes veikšanas</t>
  </si>
  <si>
    <t>Dati pieejami par 5 pašvaldībām (skat. detalizēto aprēķinu)</t>
  </si>
  <si>
    <t>M2</t>
  </si>
  <si>
    <t>M3</t>
  </si>
  <si>
    <t>V1</t>
  </si>
  <si>
    <t>V2</t>
  </si>
  <si>
    <t>M1</t>
  </si>
  <si>
    <t>V3</t>
  </si>
  <si>
    <t>6.3.</t>
  </si>
  <si>
    <t>6.3.1.</t>
  </si>
  <si>
    <t>6.3.2.</t>
  </si>
  <si>
    <t>6.3.3.</t>
  </si>
  <si>
    <t>6.4.</t>
  </si>
  <si>
    <t>6.4.1.</t>
  </si>
  <si>
    <t>6.4.2.</t>
  </si>
  <si>
    <t>6.4.3.</t>
  </si>
  <si>
    <t>6.4.4.</t>
  </si>
  <si>
    <t>6.6.</t>
  </si>
  <si>
    <t>6.6.1.</t>
  </si>
  <si>
    <t>6.6.2.</t>
  </si>
  <si>
    <t>6.6.3.</t>
  </si>
  <si>
    <t>6.6.4.</t>
  </si>
  <si>
    <t>6.6.6.</t>
  </si>
  <si>
    <t>6.6.7.</t>
  </si>
  <si>
    <t>6.6.8.</t>
  </si>
  <si>
    <t>6.6.9.</t>
  </si>
  <si>
    <t>6.6.10.</t>
  </si>
  <si>
    <t>6.6.11.</t>
  </si>
  <si>
    <t>6.6.12.</t>
  </si>
  <si>
    <t>6.6.13.</t>
  </si>
  <si>
    <t>6.6.14.</t>
  </si>
  <si>
    <t>6.6.5.</t>
  </si>
  <si>
    <t>7.1.3.</t>
  </si>
  <si>
    <t>7.2.2.</t>
  </si>
  <si>
    <t>7.2.3.</t>
  </si>
  <si>
    <t>7.2.4.</t>
  </si>
  <si>
    <t>7.2.5.</t>
  </si>
  <si>
    <t>7.2.7.</t>
  </si>
  <si>
    <t>7.2.6.</t>
  </si>
  <si>
    <t>7.2.9.</t>
  </si>
  <si>
    <t>7.2.10.</t>
  </si>
  <si>
    <t>7.2.11.</t>
  </si>
  <si>
    <t>7.2.12.</t>
  </si>
  <si>
    <t>7.2.13.</t>
  </si>
  <si>
    <t>7.2.14.</t>
  </si>
  <si>
    <t>7.2.15.</t>
  </si>
  <si>
    <t>7.2.17.</t>
  </si>
  <si>
    <t>7.2.18.</t>
  </si>
  <si>
    <t>7.2.19.</t>
  </si>
  <si>
    <t>7.2.8.</t>
  </si>
  <si>
    <t>7.2.16.</t>
  </si>
  <si>
    <t>8.3.</t>
  </si>
  <si>
    <t>8.3.1.</t>
  </si>
  <si>
    <t>8.3.2.</t>
  </si>
  <si>
    <t>8.3.3.</t>
  </si>
  <si>
    <t>8.4.</t>
  </si>
  <si>
    <t>8.4.1.</t>
  </si>
  <si>
    <t>8.4.2.</t>
  </si>
  <si>
    <t>8.4.3.</t>
  </si>
  <si>
    <t>8.4.4.</t>
  </si>
  <si>
    <t>8.4.5.</t>
  </si>
  <si>
    <t>8.4.6.</t>
  </si>
  <si>
    <t>8.4.8.</t>
  </si>
  <si>
    <t>8.4.9.</t>
  </si>
  <si>
    <t>8.4.10.</t>
  </si>
  <si>
    <t>8.4.11.</t>
  </si>
  <si>
    <t>8.5.</t>
  </si>
  <si>
    <t>8.5.1.</t>
  </si>
  <si>
    <t>8.6.</t>
  </si>
  <si>
    <t>8.6.1.</t>
  </si>
  <si>
    <t>8.4.7.</t>
  </si>
  <si>
    <t>9.1.</t>
  </si>
  <si>
    <t>9.1.1.</t>
  </si>
  <si>
    <t>9.1.2.</t>
  </si>
  <si>
    <t>9.1.3.</t>
  </si>
  <si>
    <t>Nav dati no institūcijas puses</t>
  </si>
  <si>
    <t>Nav tiešu datu par atkārtoti saskaņojamiem tirdzniecības projektiem</t>
  </si>
  <si>
    <t>Nav datu aprēķina veikšanai</t>
  </si>
  <si>
    <t>Papildu analīze</t>
  </si>
  <si>
    <t>Sum of Institūcijai</t>
  </si>
  <si>
    <t>Sum of Komersantam</t>
  </si>
  <si>
    <t>Kods</t>
  </si>
  <si>
    <t>Atcelt, samazināt, apvienot vai uzlabot tiesību aktus, t.sk.:</t>
  </si>
  <si>
    <t>atceļot prasības</t>
  </si>
  <si>
    <t>uzlabojot vai precizējot prasības</t>
  </si>
  <si>
    <t>mazinot prasību apjom, paredzot atvieglojumus vai optimizējot prasības</t>
  </si>
  <si>
    <t>Vienkāršot datu sniegšanas procesu, t.sk.</t>
  </si>
  <si>
    <t>efektīvāk vai optimālāk nodrošinot esošo funkciju izpildi</t>
  </si>
  <si>
    <t>nododot funkciju izpildi valsts centrālās pārvaldes ietvaros (mazinot iesaistīto institūciju skaitu)</t>
  </si>
  <si>
    <t>nododot funkciju izpildi ārpus valsts centrālās pārvaldes (piem. pašvaldībām, privātajam sektoram)</t>
  </si>
  <si>
    <t>Neto efekts LVL (noapaļots)</t>
  </si>
  <si>
    <t>Nav kvantificējama no pētījuma datiem</t>
  </si>
  <si>
    <t>Nav kvantificējama</t>
  </si>
  <si>
    <t>8.7.</t>
  </si>
  <si>
    <t>8.7.1.</t>
  </si>
  <si>
    <t>8.7.2.</t>
  </si>
  <si>
    <t>8.7.3.</t>
  </si>
  <si>
    <t>8.7.4.</t>
  </si>
  <si>
    <r>
      <t>►</t>
    </r>
    <r>
      <rPr>
        <sz val="7"/>
        <color indexed="51"/>
        <rFont val="Times New Roman"/>
        <family val="1"/>
      </rPr>
      <t xml:space="preserve">     </t>
    </r>
    <r>
      <rPr>
        <sz val="8"/>
        <color indexed="8"/>
        <rFont val="EYInterstate Light"/>
        <family val="0"/>
      </rPr>
      <t>atceļot prasības</t>
    </r>
  </si>
  <si>
    <r>
      <t>►</t>
    </r>
    <r>
      <rPr>
        <sz val="7"/>
        <color indexed="51"/>
        <rFont val="Times New Roman"/>
        <family val="1"/>
      </rPr>
      <t xml:space="preserve">     </t>
    </r>
    <r>
      <rPr>
        <sz val="8"/>
        <color indexed="8"/>
        <rFont val="EYInterstate Light"/>
        <family val="0"/>
      </rPr>
      <t>mazinot prasību apjomu, paredzot atvieglojumus vai optimizējot prasības</t>
    </r>
  </si>
  <si>
    <r>
      <t>►</t>
    </r>
    <r>
      <rPr>
        <sz val="7"/>
        <color indexed="51"/>
        <rFont val="Times New Roman"/>
        <family val="1"/>
      </rPr>
      <t xml:space="preserve">     </t>
    </r>
    <r>
      <rPr>
        <sz val="8"/>
        <color indexed="8"/>
        <rFont val="EYInterstate Light"/>
        <family val="0"/>
      </rPr>
      <t>uzlabojot vai precizējot prasības</t>
    </r>
  </si>
  <si>
    <r>
      <t>►</t>
    </r>
    <r>
      <rPr>
        <sz val="7"/>
        <color indexed="51"/>
        <rFont val="Times New Roman"/>
        <family val="1"/>
      </rPr>
      <t xml:space="preserve">     </t>
    </r>
    <r>
      <rPr>
        <sz val="8"/>
        <color indexed="8"/>
        <rFont val="EYInterstate Light"/>
        <family val="0"/>
      </rPr>
      <t>efektīvāk vai optimālāk nodrošinot esošo funkciju izpildi</t>
    </r>
  </si>
  <si>
    <r>
      <t>►</t>
    </r>
    <r>
      <rPr>
        <sz val="7"/>
        <color indexed="51"/>
        <rFont val="Times New Roman"/>
        <family val="1"/>
      </rPr>
      <t xml:space="preserve">     </t>
    </r>
    <r>
      <rPr>
        <sz val="8"/>
        <color indexed="8"/>
        <rFont val="EYInterstate Light"/>
        <family val="0"/>
      </rPr>
      <t>nododot funkciju izpildi valsts centrālās pārvaldes ietvaros (mazinot iesaistīto institūciju skaitu)</t>
    </r>
  </si>
  <si>
    <r>
      <t>►</t>
    </r>
    <r>
      <rPr>
        <sz val="7"/>
        <color indexed="51"/>
        <rFont val="Times New Roman"/>
        <family val="1"/>
      </rPr>
      <t xml:space="preserve">     </t>
    </r>
    <r>
      <rPr>
        <sz val="8"/>
        <color indexed="8"/>
        <rFont val="EYInterstate Light"/>
        <family val="0"/>
      </rPr>
      <t>nododot funkciju izpildi ārpus valsts centrālās pārvaldes (piem. pašvaldībām, privātajam sektoram)</t>
    </r>
  </si>
  <si>
    <t>5000 jauni produkti gadā, 4h x 5 Ls</t>
  </si>
  <si>
    <t>Nododamās vai samazināmās funkcijas: 7 štata vietas (400 Ls mēnesī , VSAOI 24.09%) 41 000 Ls gadā.</t>
  </si>
  <si>
    <t>2009.gadā veiktas 15 780 pārbaudes, kopējās izmaksas 4 131 030 Ls</t>
  </si>
  <si>
    <t>Data</t>
  </si>
  <si>
    <t>2009.gadā veiktas 26 224 un 223 pārbaudes, samazinot skaitu par 10%. Izmaksas uz 1 pārbaudi 20h*10 Ls</t>
  </si>
  <si>
    <t>2009.gadā veiktas 26 224 pārbaudes pārtikas uzņēmumos un 223 pārbaudes veterinārās aptiekās.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</si>
</sst>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4">
    <font>
      <sz val="10"/>
      <color indexed="8"/>
      <name val="Arial"/>
      <family val="2"/>
    </font>
    <font>
      <sz val="8"/>
      <color indexed="8"/>
      <name val="EYInterstate Light"/>
      <family val="0"/>
    </font>
    <font>
      <sz val="7"/>
      <color indexed="5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EYInterstate Light"/>
      <family val="0"/>
    </font>
    <font>
      <sz val="8"/>
      <color indexed="51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double">
        <color indexed="23"/>
      </bottom>
    </border>
    <border>
      <left/>
      <right style="medium">
        <color indexed="23"/>
      </right>
      <top/>
      <bottom style="double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1" fillId="24" borderId="1" xfId="0" applyFont="1" applyFill="1" applyBorder="1" applyAlignment="1">
      <alignment vertical="top" wrapText="1"/>
    </xf>
    <xf numFmtId="0" fontId="21" fillId="21" borderId="1" xfId="0" applyFont="1" applyFill="1" applyBorder="1" applyAlignment="1">
      <alignment vertical="top" wrapText="1"/>
    </xf>
    <xf numFmtId="0" fontId="1" fillId="2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1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1" fillId="11" borderId="1" xfId="0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21" fillId="11" borderId="10" xfId="0" applyFont="1" applyFill="1" applyBorder="1" applyAlignment="1">
      <alignment horizontal="center" vertical="top" wrapText="1"/>
    </xf>
    <xf numFmtId="0" fontId="21" fillId="11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20" borderId="12" xfId="0" applyFont="1" applyFill="1" applyBorder="1" applyAlignment="1">
      <alignment vertical="top" wrapText="1"/>
    </xf>
    <xf numFmtId="0" fontId="1" fillId="20" borderId="13" xfId="0" applyFont="1" applyFill="1" applyBorder="1" applyAlignment="1">
      <alignment horizontal="center" vertical="top" wrapText="1"/>
    </xf>
    <xf numFmtId="0" fontId="1" fillId="20" borderId="14" xfId="0" applyFont="1" applyFill="1" applyBorder="1" applyAlignment="1">
      <alignment vertical="top" wrapText="1"/>
    </xf>
    <xf numFmtId="0" fontId="1" fillId="20" borderId="15" xfId="0" applyFont="1" applyFill="1" applyBorder="1" applyAlignment="1">
      <alignment horizontal="center" vertical="top" wrapText="1"/>
    </xf>
    <xf numFmtId="3" fontId="1" fillId="20" borderId="13" xfId="0" applyNumberFormat="1" applyFont="1" applyFill="1" applyBorder="1" applyAlignment="1">
      <alignment horizontal="center" vertical="top" wrapText="1"/>
    </xf>
    <xf numFmtId="0" fontId="1" fillId="2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20" borderId="14" xfId="0" applyFont="1" applyFill="1" applyBorder="1" applyAlignment="1">
      <alignment horizontal="center" vertical="top" wrapText="1"/>
    </xf>
    <xf numFmtId="0" fontId="21" fillId="11" borderId="1" xfId="0" applyFont="1" applyFill="1" applyBorder="1" applyAlignment="1">
      <alignment vertical="top"/>
    </xf>
    <xf numFmtId="0" fontId="21" fillId="11" borderId="16" xfId="0" applyFont="1" applyFill="1" applyBorder="1" applyAlignment="1">
      <alignment horizontal="center" vertical="top" wrapText="1"/>
    </xf>
    <xf numFmtId="0" fontId="21" fillId="11" borderId="17" xfId="0" applyFont="1" applyFill="1" applyBorder="1" applyAlignment="1">
      <alignment horizontal="center" vertical="top" wrapText="1"/>
    </xf>
    <xf numFmtId="0" fontId="21" fillId="24" borderId="17" xfId="0" applyFont="1" applyFill="1" applyBorder="1" applyAlignment="1">
      <alignment vertical="top" wrapText="1"/>
    </xf>
    <xf numFmtId="0" fontId="21" fillId="24" borderId="16" xfId="0" applyFont="1" applyFill="1" applyBorder="1" applyAlignment="1">
      <alignment vertical="top" wrapText="1"/>
    </xf>
    <xf numFmtId="0" fontId="21" fillId="21" borderId="17" xfId="0" applyFont="1" applyFill="1" applyBorder="1" applyAlignment="1">
      <alignment vertical="top" wrapText="1"/>
    </xf>
    <xf numFmtId="0" fontId="21" fillId="21" borderId="16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vertical="top" wrapText="1"/>
    </xf>
    <xf numFmtId="0" fontId="1" fillId="20" borderId="16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" fontId="1" fillId="0" borderId="16" xfId="0" applyNumberFormat="1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" fontId="1" fillId="0" borderId="19" xfId="0" applyNumberFormat="1" applyFont="1" applyFill="1" applyBorder="1" applyAlignment="1">
      <alignment vertical="top" wrapText="1"/>
    </xf>
    <xf numFmtId="1" fontId="1" fillId="0" borderId="20" xfId="0" applyNumberFormat="1" applyFont="1" applyFill="1" applyBorder="1" applyAlignment="1">
      <alignment vertical="top" wrapText="1"/>
    </xf>
    <xf numFmtId="0" fontId="21" fillId="24" borderId="17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 vertical="top" wrapText="1"/>
    </xf>
    <xf numFmtId="0" fontId="21" fillId="21" borderId="17" xfId="0" applyFont="1" applyFill="1" applyBorder="1" applyAlignment="1">
      <alignment horizontal="center" vertical="top" wrapText="1"/>
    </xf>
    <xf numFmtId="0" fontId="21" fillId="21" borderId="16" xfId="0" applyFont="1" applyFill="1" applyBorder="1" applyAlignment="1">
      <alignment horizontal="center" vertical="top" wrapText="1"/>
    </xf>
    <xf numFmtId="0" fontId="1" fillId="20" borderId="17" xfId="0" applyFont="1" applyFill="1" applyBorder="1" applyAlignment="1">
      <alignment horizontal="center" vertical="top" wrapText="1"/>
    </xf>
    <xf numFmtId="0" fontId="1" fillId="20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" fontId="1" fillId="0" borderId="0" xfId="0" applyNumberFormat="1" applyFont="1" applyFill="1" applyAlignment="1">
      <alignment vertical="top" wrapText="1"/>
    </xf>
    <xf numFmtId="3" fontId="0" fillId="0" borderId="0" xfId="0" applyNumberFormat="1" applyAlignment="1">
      <alignment/>
    </xf>
    <xf numFmtId="3" fontId="1" fillId="0" borderId="1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 vertical="top" wrapText="1"/>
    </xf>
    <xf numFmtId="0" fontId="21" fillId="11" borderId="10" xfId="0" applyFont="1" applyFill="1" applyBorder="1" applyAlignment="1">
      <alignment horizontal="center" wrapText="1"/>
    </xf>
    <xf numFmtId="0" fontId="21" fillId="11" borderId="11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wrapText="1"/>
    </xf>
    <xf numFmtId="0" fontId="1" fillId="20" borderId="13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left" wrapText="1" indent="4"/>
    </xf>
    <xf numFmtId="0" fontId="1" fillId="0" borderId="13" xfId="0" applyFont="1" applyBorder="1" applyAlignment="1">
      <alignment horizontal="center" wrapText="1"/>
    </xf>
    <xf numFmtId="0" fontId="1" fillId="20" borderId="14" xfId="0" applyFont="1" applyFill="1" applyBorder="1" applyAlignment="1">
      <alignment wrapText="1"/>
    </xf>
    <xf numFmtId="0" fontId="1" fillId="20" borderId="15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0" xfId="0" applyNumberFormat="1" applyBorder="1" applyAlignment="1">
      <alignment/>
    </xf>
    <xf numFmtId="1" fontId="1" fillId="20" borderId="15" xfId="0" applyNumberFormat="1" applyFont="1" applyFill="1" applyBorder="1" applyAlignment="1">
      <alignment horizontal="center" vertical="top" wrapText="1"/>
    </xf>
    <xf numFmtId="0" fontId="21" fillId="11" borderId="1" xfId="0" applyFont="1" applyFill="1" applyBorder="1" applyAlignment="1">
      <alignment horizontal="center" vertical="top" wrapText="1"/>
    </xf>
    <xf numFmtId="0" fontId="21" fillId="11" borderId="16" xfId="0" applyFont="1" applyFill="1" applyBorder="1" applyAlignment="1">
      <alignment horizontal="center" vertical="top" wrapText="1"/>
    </xf>
    <xf numFmtId="0" fontId="21" fillId="11" borderId="31" xfId="0" applyFont="1" applyFill="1" applyBorder="1" applyAlignment="1">
      <alignment horizontal="center" vertical="top" wrapText="1"/>
    </xf>
    <xf numFmtId="0" fontId="21" fillId="11" borderId="32" xfId="0" applyFont="1" applyFill="1" applyBorder="1" applyAlignment="1">
      <alignment horizontal="center" vertical="top" wrapText="1"/>
    </xf>
    <xf numFmtId="0" fontId="21" fillId="11" borderId="33" xfId="0" applyFont="1" applyFill="1" applyBorder="1" applyAlignment="1">
      <alignment horizontal="center" vertical="top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31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center" vertical="center" wrapText="1"/>
    </xf>
    <xf numFmtId="0" fontId="21" fillId="11" borderId="33" xfId="0" applyFont="1" applyFill="1" applyBorder="1" applyAlignment="1">
      <alignment horizontal="center" vertical="center" wrapText="1"/>
    </xf>
    <xf numFmtId="0" fontId="21" fillId="11" borderId="16" xfId="0" applyFont="1" applyFill="1" applyBorder="1" applyAlignment="1">
      <alignment horizontal="center" vertical="center" wrapText="1"/>
    </xf>
    <xf numFmtId="0" fontId="21" fillId="11" borderId="17" xfId="0" applyFont="1" applyFill="1" applyBorder="1" applyAlignment="1">
      <alignment horizontal="center" vertical="top" wrapText="1"/>
    </xf>
    <xf numFmtId="0" fontId="21" fillId="11" borderId="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81" sheet="Data source"/>
  </cacheSource>
  <cacheFields count="17">
    <cacheField name="Ieteikuma ID">
      <sharedItems containsMixedTypes="0"/>
    </cacheField>
    <cacheField name="Ieteikums">
      <sharedItems containsMixedTypes="0"/>
    </cacheField>
    <cacheField name="Ieteikuma kategorija">
      <sharedItems containsMixedTypes="0" count="9">
        <s v="V1"/>
        <s v="V3"/>
        <s v="V2"/>
        <s v="M1"/>
        <s v="M2"/>
        <s v="D"/>
        <s v="IT"/>
        <s v="M3"/>
        <s v="IF"/>
      </sharedItems>
    </cacheField>
    <cacheField name="Institūcijas izmaksas">
      <sharedItems containsSemiMixedTypes="0" containsString="0" containsMixedTypes="0" containsNumber="1" containsInteger="1"/>
    </cacheField>
    <cacheField name="0">
      <sharedItems containsMixedTypes="1" containsNumber="1" containsInteger="1"/>
    </cacheField>
    <cacheField name="02">
      <sharedItems containsSemiMixedTypes="0" containsString="0" containsMixedTypes="0" containsNumber="1" containsInteger="1"/>
    </cacheField>
    <cacheField name="03">
      <sharedItems containsSemiMixedTypes="0" containsString="0" containsMixedTypes="0" containsNumber="1"/>
    </cacheField>
    <cacheField name="04">
      <sharedItems containsMixedTypes="1" containsNumber="1" containsInteger="1"/>
    </cacheField>
    <cacheField name="05">
      <sharedItems containsSemiMixedTypes="0" containsString="0" containsMixedTypes="0" containsNumber="1" containsInteger="1"/>
    </cacheField>
    <cacheField name="06">
      <sharedItems containsSemiMixedTypes="0" containsString="0" containsMixedTypes="0" containsNumber="1"/>
    </cacheField>
    <cacheField name="07">
      <sharedItems containsSemiMixedTypes="0" containsString="0" containsMixedTypes="0" containsNumber="1"/>
    </cacheField>
    <cacheField name="08">
      <sharedItems containsSemiMixedTypes="0" containsString="0" containsMixedTypes="0" containsNumber="1" containsInteger="1"/>
    </cacheField>
    <cacheField name="Institūcijai">
      <sharedItems containsSemiMixedTypes="0" containsString="0" containsMixedTypes="0" containsNumber="1"/>
    </cacheField>
    <cacheField name="Komersanta izmaksas">
      <sharedItems containsMixedTypes="1" containsNumber="1" containsInteger="1"/>
    </cacheField>
    <cacheField name="09">
      <sharedItems containsSemiMixedTypes="0" containsString="0" containsMixedTypes="0" containsNumber="1" containsInteger="1"/>
    </cacheField>
    <cacheField name="010">
      <sharedItems containsMixedTypes="1" containsNumber="1" containsInteger="1"/>
    </cacheField>
    <cacheField name="Komersantam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:G13" firstHeaderRow="1" firstDataRow="2" firstDataCol="1"/>
  <pivotFields count="17">
    <pivotField compact="0" outline="0" subtotalTop="0" showAll="0"/>
    <pivotField compact="0" outline="0" subtotalTop="0" showAll="0"/>
    <pivotField axis="axisRow" compact="0" outline="0" subtotalTop="0" showAll="0">
      <items count="10">
        <item x="5"/>
        <item x="8"/>
        <item x="6"/>
        <item x="3"/>
        <item x="4"/>
        <item x="7"/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dataField="1" compact="0" outline="0" subtotalTop="0" showAll="0" numFmtId="1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Institūcijai" fld="12" baseField="0" baseItem="0"/>
    <dataField name="Sum of Komersantam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</cols>
  <sheetData>
    <row r="1" spans="1:2" ht="13.5" thickBot="1">
      <c r="A1" s="62" t="s">
        <v>139</v>
      </c>
      <c r="B1" s="63" t="s">
        <v>400</v>
      </c>
    </row>
    <row r="2" spans="1:2" ht="13.5" thickBot="1">
      <c r="A2" s="64" t="s">
        <v>140</v>
      </c>
      <c r="B2" s="65" t="s">
        <v>161</v>
      </c>
    </row>
    <row r="3" spans="1:2" ht="13.5" thickBot="1">
      <c r="A3" s="66" t="s">
        <v>417</v>
      </c>
      <c r="B3" s="67" t="s">
        <v>325</v>
      </c>
    </row>
    <row r="4" spans="1:2" ht="23.25" thickBot="1">
      <c r="A4" s="66" t="s">
        <v>418</v>
      </c>
      <c r="B4" s="67" t="s">
        <v>321</v>
      </c>
    </row>
    <row r="5" spans="1:2" ht="13.5" thickBot="1">
      <c r="A5" s="66" t="s">
        <v>419</v>
      </c>
      <c r="B5" s="67" t="s">
        <v>322</v>
      </c>
    </row>
    <row r="6" spans="1:2" ht="13.5" thickBot="1">
      <c r="A6" s="64" t="s">
        <v>141</v>
      </c>
      <c r="B6" s="65" t="s">
        <v>162</v>
      </c>
    </row>
    <row r="7" spans="1:2" ht="23.25" thickBot="1">
      <c r="A7" s="66" t="s">
        <v>420</v>
      </c>
      <c r="B7" s="67" t="s">
        <v>323</v>
      </c>
    </row>
    <row r="8" spans="1:2" ht="34.5" thickBot="1">
      <c r="A8" s="66" t="s">
        <v>421</v>
      </c>
      <c r="B8" s="67" t="s">
        <v>324</v>
      </c>
    </row>
    <row r="9" spans="1:2" ht="34.5" thickBot="1">
      <c r="A9" s="66" t="s">
        <v>422</v>
      </c>
      <c r="B9" s="67" t="s">
        <v>326</v>
      </c>
    </row>
    <row r="10" spans="1:2" ht="13.5" thickBot="1">
      <c r="A10" s="64" t="s">
        <v>143</v>
      </c>
      <c r="B10" s="65" t="s">
        <v>164</v>
      </c>
    </row>
    <row r="11" spans="1:2" ht="13.5" thickBot="1">
      <c r="A11" s="64" t="s">
        <v>142</v>
      </c>
      <c r="B11" s="65" t="s">
        <v>163</v>
      </c>
    </row>
    <row r="12" spans="1:2" ht="13.5" thickBot="1">
      <c r="A12" s="68" t="s">
        <v>144</v>
      </c>
      <c r="B12" s="69" t="s">
        <v>165</v>
      </c>
    </row>
    <row r="13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8"/>
  <sheetViews>
    <sheetView zoomScalePageLayoutView="0" workbookViewId="0" topLeftCell="A1">
      <pane ySplit="6" topLeftCell="BM76" activePane="bottomLeft" state="frozen"/>
      <selection pane="topLeft" activeCell="A1" sqref="A1"/>
      <selection pane="bottomLeft" activeCell="R88" sqref="R88"/>
    </sheetView>
  </sheetViews>
  <sheetFormatPr defaultColWidth="9.140625" defaultRowHeight="12.75"/>
  <cols>
    <col min="1" max="1" width="8.140625" style="1" customWidth="1"/>
    <col min="2" max="2" width="23.28125" style="1" customWidth="1"/>
    <col min="3" max="3" width="8.421875" style="10" customWidth="1"/>
    <col min="4" max="4" width="12.8515625" style="1" hidden="1" customWidth="1"/>
    <col min="5" max="5" width="24.8515625" style="1" customWidth="1"/>
    <col min="6" max="6" width="13.00390625" style="1" hidden="1" customWidth="1"/>
    <col min="7" max="7" width="9.421875" style="1" customWidth="1"/>
    <col min="8" max="8" width="31.140625" style="1" customWidth="1"/>
    <col min="9" max="9" width="13.00390625" style="1" hidden="1" customWidth="1"/>
    <col min="10" max="10" width="10.57421875" style="1" customWidth="1"/>
    <col min="11" max="11" width="9.8515625" style="1" customWidth="1"/>
    <col min="12" max="12" width="10.421875" style="1" customWidth="1"/>
    <col min="13" max="14" width="10.8515625" style="2" customWidth="1"/>
    <col min="15" max="16" width="8.8515625" style="1" customWidth="1"/>
    <col min="17" max="17" width="25.00390625" style="1" customWidth="1"/>
    <col min="18" max="18" width="7.140625" style="1" customWidth="1"/>
    <col min="19" max="19" width="8.8515625" style="2" customWidth="1"/>
    <col min="20" max="16384" width="9.140625" style="2" customWidth="1"/>
  </cols>
  <sheetData>
    <row r="1" ht="11.25">
      <c r="A1" s="9" t="s">
        <v>0</v>
      </c>
    </row>
    <row r="3" ht="12" thickBot="1">
      <c r="A3" s="2"/>
    </row>
    <row r="4" spans="1:19" ht="12" thickTop="1">
      <c r="A4" s="93" t="s">
        <v>137</v>
      </c>
      <c r="B4" s="91" t="s">
        <v>9</v>
      </c>
      <c r="C4" s="95" t="s">
        <v>138</v>
      </c>
      <c r="D4" s="88" t="s">
        <v>4</v>
      </c>
      <c r="E4" s="89"/>
      <c r="F4" s="89"/>
      <c r="G4" s="89"/>
      <c r="H4" s="89"/>
      <c r="I4" s="89"/>
      <c r="J4" s="89"/>
      <c r="K4" s="89"/>
      <c r="L4" s="89"/>
      <c r="M4" s="89"/>
      <c r="N4" s="90"/>
      <c r="O4" s="88" t="s">
        <v>5</v>
      </c>
      <c r="P4" s="89"/>
      <c r="Q4" s="89"/>
      <c r="R4" s="89"/>
      <c r="S4" s="90"/>
    </row>
    <row r="5" spans="1:19" ht="22.5">
      <c r="A5" s="94"/>
      <c r="B5" s="92"/>
      <c r="C5" s="96"/>
      <c r="D5" s="97" t="s">
        <v>3</v>
      </c>
      <c r="E5" s="86"/>
      <c r="F5" s="86"/>
      <c r="G5" s="86"/>
      <c r="H5" s="18" t="s">
        <v>11</v>
      </c>
      <c r="I5" s="33"/>
      <c r="J5" s="98" t="s">
        <v>146</v>
      </c>
      <c r="K5" s="98"/>
      <c r="L5" s="98"/>
      <c r="M5" s="18"/>
      <c r="N5" s="34"/>
      <c r="O5" s="35" t="s">
        <v>3</v>
      </c>
      <c r="P5" s="18"/>
      <c r="Q5" s="18" t="s">
        <v>11</v>
      </c>
      <c r="R5" s="86" t="s">
        <v>6</v>
      </c>
      <c r="S5" s="87"/>
    </row>
    <row r="6" spans="1:19" ht="56.25">
      <c r="A6" s="94"/>
      <c r="B6" s="92"/>
      <c r="C6" s="96"/>
      <c r="D6" s="35" t="s">
        <v>1</v>
      </c>
      <c r="E6" s="18" t="s">
        <v>2</v>
      </c>
      <c r="F6" s="18" t="s">
        <v>7</v>
      </c>
      <c r="G6" s="18" t="s">
        <v>147</v>
      </c>
      <c r="H6" s="18" t="s">
        <v>12</v>
      </c>
      <c r="I6" s="18" t="s">
        <v>8</v>
      </c>
      <c r="J6" s="18" t="s">
        <v>151</v>
      </c>
      <c r="K6" s="18" t="s">
        <v>166</v>
      </c>
      <c r="L6" s="18" t="s">
        <v>167</v>
      </c>
      <c r="M6" s="18" t="s">
        <v>10</v>
      </c>
      <c r="N6" s="34" t="s">
        <v>409</v>
      </c>
      <c r="O6" s="35" t="s">
        <v>2</v>
      </c>
      <c r="P6" s="18" t="s">
        <v>147</v>
      </c>
      <c r="Q6" s="18" t="s">
        <v>12</v>
      </c>
      <c r="R6" s="18" t="s">
        <v>152</v>
      </c>
      <c r="S6" s="34" t="s">
        <v>409</v>
      </c>
    </row>
    <row r="7" spans="1:19" s="8" customFormat="1" ht="33.75">
      <c r="A7" s="48">
        <v>6</v>
      </c>
      <c r="B7" s="3" t="s">
        <v>13</v>
      </c>
      <c r="C7" s="49"/>
      <c r="D7" s="36"/>
      <c r="E7" s="3"/>
      <c r="F7" s="3"/>
      <c r="G7" s="3"/>
      <c r="H7" s="3"/>
      <c r="I7" s="3"/>
      <c r="J7" s="3"/>
      <c r="K7" s="3"/>
      <c r="L7" s="3"/>
      <c r="M7" s="3"/>
      <c r="N7" s="37"/>
      <c r="O7" s="36"/>
      <c r="P7" s="3"/>
      <c r="Q7" s="3"/>
      <c r="R7" s="3"/>
      <c r="S7" s="37"/>
    </row>
    <row r="8" spans="1:19" s="8" customFormat="1" ht="22.5">
      <c r="A8" s="50" t="s">
        <v>55</v>
      </c>
      <c r="B8" s="4" t="s">
        <v>14</v>
      </c>
      <c r="C8" s="51"/>
      <c r="D8" s="38"/>
      <c r="E8" s="4"/>
      <c r="F8" s="4"/>
      <c r="G8" s="4"/>
      <c r="H8" s="4"/>
      <c r="I8" s="4"/>
      <c r="J8" s="4"/>
      <c r="K8" s="4"/>
      <c r="L8" s="4"/>
      <c r="M8" s="4"/>
      <c r="N8" s="39"/>
      <c r="O8" s="38"/>
      <c r="P8" s="4"/>
      <c r="Q8" s="4"/>
      <c r="R8" s="4"/>
      <c r="S8" s="39"/>
    </row>
    <row r="9" spans="1:19" ht="33.75">
      <c r="A9" s="52" t="s">
        <v>117</v>
      </c>
      <c r="B9" s="5" t="s">
        <v>15</v>
      </c>
      <c r="C9" s="53"/>
      <c r="D9" s="40"/>
      <c r="E9" s="5"/>
      <c r="F9" s="5"/>
      <c r="G9" s="5"/>
      <c r="H9" s="5"/>
      <c r="I9" s="5"/>
      <c r="J9" s="5"/>
      <c r="K9" s="5"/>
      <c r="L9" s="5"/>
      <c r="M9" s="5"/>
      <c r="N9" s="41"/>
      <c r="O9" s="40"/>
      <c r="P9" s="5"/>
      <c r="Q9" s="5"/>
      <c r="R9" s="5"/>
      <c r="S9" s="41"/>
    </row>
    <row r="10" spans="1:19" ht="22.5">
      <c r="A10" s="52" t="s">
        <v>118</v>
      </c>
      <c r="B10" s="5" t="s">
        <v>16</v>
      </c>
      <c r="C10" s="53"/>
      <c r="D10" s="40"/>
      <c r="E10" s="5"/>
      <c r="F10" s="5"/>
      <c r="G10" s="5"/>
      <c r="H10" s="5"/>
      <c r="I10" s="5"/>
      <c r="J10" s="5"/>
      <c r="K10" s="5"/>
      <c r="L10" s="5"/>
      <c r="M10" s="5"/>
      <c r="N10" s="41"/>
      <c r="O10" s="40"/>
      <c r="P10" s="5"/>
      <c r="Q10" s="5"/>
      <c r="R10" s="5"/>
      <c r="S10" s="41"/>
    </row>
    <row r="11" spans="1:19" ht="33.75">
      <c r="A11" s="52" t="s">
        <v>119</v>
      </c>
      <c r="B11" s="5" t="s">
        <v>17</v>
      </c>
      <c r="C11" s="53"/>
      <c r="D11" s="40"/>
      <c r="E11" s="5"/>
      <c r="F11" s="5"/>
      <c r="G11" s="5"/>
      <c r="H11" s="5"/>
      <c r="I11" s="5"/>
      <c r="J11" s="5"/>
      <c r="K11" s="5"/>
      <c r="L11" s="5"/>
      <c r="M11" s="5"/>
      <c r="N11" s="41"/>
      <c r="O11" s="40"/>
      <c r="P11" s="5"/>
      <c r="Q11" s="5"/>
      <c r="R11" s="5"/>
      <c r="S11" s="41"/>
    </row>
    <row r="12" spans="1:19" s="8" customFormat="1" ht="33.75">
      <c r="A12" s="50" t="s">
        <v>60</v>
      </c>
      <c r="B12" s="4" t="s">
        <v>18</v>
      </c>
      <c r="C12" s="51"/>
      <c r="D12" s="38"/>
      <c r="E12" s="4"/>
      <c r="F12" s="4"/>
      <c r="G12" s="4"/>
      <c r="H12" s="4"/>
      <c r="I12" s="4"/>
      <c r="J12" s="4"/>
      <c r="K12" s="4"/>
      <c r="L12" s="4"/>
      <c r="M12" s="4"/>
      <c r="N12" s="39"/>
      <c r="O12" s="38"/>
      <c r="P12" s="4"/>
      <c r="Q12" s="4"/>
      <c r="R12" s="4"/>
      <c r="S12" s="39"/>
    </row>
    <row r="13" spans="1:19" ht="56.25">
      <c r="A13" s="54" t="s">
        <v>120</v>
      </c>
      <c r="B13" s="6" t="s">
        <v>19</v>
      </c>
      <c r="C13" s="55" t="s">
        <v>323</v>
      </c>
      <c r="D13" s="42"/>
      <c r="E13" s="6" t="s">
        <v>145</v>
      </c>
      <c r="F13" s="6"/>
      <c r="G13" s="6">
        <f>(74598+27998)*1.2409</f>
        <v>127311.3764</v>
      </c>
      <c r="H13" s="6" t="s">
        <v>148</v>
      </c>
      <c r="I13" s="6"/>
      <c r="J13" s="11">
        <f>G13*0.2</f>
        <v>25462.27528</v>
      </c>
      <c r="K13" s="11">
        <f>G13/70*30*0.2</f>
        <v>10912.403691428572</v>
      </c>
      <c r="L13" s="11">
        <v>0</v>
      </c>
      <c r="M13" s="12">
        <f>J13+K13+L13</f>
        <v>36374.67897142857</v>
      </c>
      <c r="N13" s="43">
        <f>M13</f>
        <v>36374.67897142857</v>
      </c>
      <c r="O13" s="42">
        <v>0</v>
      </c>
      <c r="P13" s="6"/>
      <c r="Q13" s="6" t="s">
        <v>149</v>
      </c>
      <c r="R13" s="6">
        <v>0</v>
      </c>
      <c r="S13" s="43">
        <v>0</v>
      </c>
    </row>
    <row r="14" spans="1:19" ht="45">
      <c r="A14" s="54" t="s">
        <v>121</v>
      </c>
      <c r="B14" s="6" t="s">
        <v>20</v>
      </c>
      <c r="C14" s="55" t="s">
        <v>323</v>
      </c>
      <c r="D14" s="42"/>
      <c r="E14" s="6" t="s">
        <v>150</v>
      </c>
      <c r="F14" s="6"/>
      <c r="G14" s="6">
        <f>15923.62*1.2409</f>
        <v>19759.620058</v>
      </c>
      <c r="H14" s="6" t="s">
        <v>148</v>
      </c>
      <c r="I14" s="6"/>
      <c r="J14" s="11">
        <f>G14*0.2</f>
        <v>3951.9240116</v>
      </c>
      <c r="K14" s="11">
        <f>G14/70*30*0.2</f>
        <v>1693.6817192571427</v>
      </c>
      <c r="L14" s="11">
        <v>0</v>
      </c>
      <c r="M14" s="12">
        <f aca="true" t="shared" si="0" ref="M14:M24">J14+K14+L14</f>
        <v>5645.605730857143</v>
      </c>
      <c r="N14" s="43">
        <f>M14</f>
        <v>5645.605730857143</v>
      </c>
      <c r="O14" s="42">
        <v>0</v>
      </c>
      <c r="P14" s="6"/>
      <c r="Q14" s="6" t="s">
        <v>149</v>
      </c>
      <c r="R14" s="6">
        <v>0</v>
      </c>
      <c r="S14" s="43">
        <v>0</v>
      </c>
    </row>
    <row r="15" spans="1:19" ht="135">
      <c r="A15" s="54" t="s">
        <v>122</v>
      </c>
      <c r="B15" s="6" t="s">
        <v>21</v>
      </c>
      <c r="C15" s="55" t="s">
        <v>323</v>
      </c>
      <c r="D15" s="42"/>
      <c r="E15" s="6" t="s">
        <v>156</v>
      </c>
      <c r="F15" s="6"/>
      <c r="G15" s="6"/>
      <c r="H15" s="6" t="s">
        <v>157</v>
      </c>
      <c r="I15" s="6"/>
      <c r="J15" s="11">
        <v>25016</v>
      </c>
      <c r="K15" s="11">
        <f>J15/70*30*0.2</f>
        <v>2144.2285714285713</v>
      </c>
      <c r="L15" s="11">
        <v>100000</v>
      </c>
      <c r="M15" s="12">
        <f t="shared" si="0"/>
        <v>127160.22857142857</v>
      </c>
      <c r="N15" s="43">
        <f>M15</f>
        <v>127160.22857142857</v>
      </c>
      <c r="O15" s="42" t="s">
        <v>168</v>
      </c>
      <c r="P15" s="6"/>
      <c r="Q15" s="6" t="s">
        <v>149</v>
      </c>
      <c r="R15" s="6">
        <v>0</v>
      </c>
      <c r="S15" s="43">
        <v>0</v>
      </c>
    </row>
    <row r="16" spans="1:19" ht="67.5">
      <c r="A16" s="54" t="s">
        <v>123</v>
      </c>
      <c r="B16" s="6" t="s">
        <v>22</v>
      </c>
      <c r="C16" s="55" t="s">
        <v>323</v>
      </c>
      <c r="D16" s="42"/>
      <c r="E16" s="6" t="s">
        <v>155</v>
      </c>
      <c r="F16" s="6"/>
      <c r="G16" s="6"/>
      <c r="H16" s="6" t="s">
        <v>153</v>
      </c>
      <c r="I16" s="6"/>
      <c r="J16" s="11">
        <v>0</v>
      </c>
      <c r="K16" s="11">
        <v>0</v>
      </c>
      <c r="L16" s="11">
        <v>0</v>
      </c>
      <c r="M16" s="12">
        <f t="shared" si="0"/>
        <v>0</v>
      </c>
      <c r="N16" s="43">
        <v>0</v>
      </c>
      <c r="O16" s="42">
        <v>0</v>
      </c>
      <c r="P16" s="6"/>
      <c r="Q16" s="6" t="s">
        <v>149</v>
      </c>
      <c r="R16" s="6">
        <v>0</v>
      </c>
      <c r="S16" s="43">
        <v>0</v>
      </c>
    </row>
    <row r="17" spans="1:19" ht="33.75">
      <c r="A17" s="54" t="s">
        <v>124</v>
      </c>
      <c r="B17" s="6" t="s">
        <v>23</v>
      </c>
      <c r="C17" s="55" t="s">
        <v>326</v>
      </c>
      <c r="D17" s="42"/>
      <c r="E17" s="6" t="s">
        <v>154</v>
      </c>
      <c r="F17" s="6"/>
      <c r="G17" s="6"/>
      <c r="H17" s="6" t="s">
        <v>424</v>
      </c>
      <c r="I17" s="6"/>
      <c r="J17" s="11">
        <v>41000</v>
      </c>
      <c r="K17" s="11">
        <v>0</v>
      </c>
      <c r="L17" s="11">
        <v>0</v>
      </c>
      <c r="M17" s="12">
        <f t="shared" si="0"/>
        <v>41000</v>
      </c>
      <c r="N17" s="43">
        <v>41000</v>
      </c>
      <c r="O17" s="42">
        <v>0</v>
      </c>
      <c r="P17" s="6"/>
      <c r="Q17" s="6" t="s">
        <v>149</v>
      </c>
      <c r="R17" s="6">
        <v>0</v>
      </c>
      <c r="S17" s="43">
        <v>0</v>
      </c>
    </row>
    <row r="18" spans="1:19" ht="45">
      <c r="A18" s="54" t="s">
        <v>125</v>
      </c>
      <c r="B18" s="6" t="s">
        <v>189</v>
      </c>
      <c r="C18" s="55" t="s">
        <v>326</v>
      </c>
      <c r="D18" s="42"/>
      <c r="E18" s="6" t="s">
        <v>177</v>
      </c>
      <c r="F18" s="6"/>
      <c r="G18" s="6">
        <v>219.7</v>
      </c>
      <c r="H18" s="6" t="s">
        <v>158</v>
      </c>
      <c r="I18" s="6"/>
      <c r="J18" s="11">
        <v>219.7</v>
      </c>
      <c r="K18" s="11">
        <f>J18/70*30*0.2</f>
        <v>18.83142857142857</v>
      </c>
      <c r="L18" s="11">
        <v>0</v>
      </c>
      <c r="M18" s="12">
        <v>0</v>
      </c>
      <c r="N18" s="43">
        <v>240</v>
      </c>
      <c r="O18" s="42">
        <v>0</v>
      </c>
      <c r="P18" s="6"/>
      <c r="Q18" s="6" t="s">
        <v>149</v>
      </c>
      <c r="R18" s="6">
        <v>0</v>
      </c>
      <c r="S18" s="43">
        <v>0</v>
      </c>
    </row>
    <row r="19" spans="1:19" ht="33.75">
      <c r="A19" s="54" t="s">
        <v>126</v>
      </c>
      <c r="B19" s="6" t="s">
        <v>24</v>
      </c>
      <c r="C19" s="55" t="s">
        <v>324</v>
      </c>
      <c r="D19" s="42"/>
      <c r="E19" s="6" t="s">
        <v>159</v>
      </c>
      <c r="F19" s="6"/>
      <c r="G19" s="6"/>
      <c r="H19" s="6" t="s">
        <v>160</v>
      </c>
      <c r="I19" s="6"/>
      <c r="J19" s="11">
        <v>765.6</v>
      </c>
      <c r="K19" s="11">
        <f>J19/70*30</f>
        <v>328.11428571428576</v>
      </c>
      <c r="L19" s="11">
        <v>0</v>
      </c>
      <c r="M19" s="12">
        <f>(J19+K19)*0.2</f>
        <v>218.74285714285716</v>
      </c>
      <c r="N19" s="43">
        <v>220</v>
      </c>
      <c r="O19" s="42">
        <v>0</v>
      </c>
      <c r="P19" s="6"/>
      <c r="Q19" s="6" t="s">
        <v>149</v>
      </c>
      <c r="R19" s="6">
        <v>0</v>
      </c>
      <c r="S19" s="43">
        <v>0</v>
      </c>
    </row>
    <row r="20" spans="1:19" ht="56.25">
      <c r="A20" s="54" t="s">
        <v>127</v>
      </c>
      <c r="B20" s="6" t="s">
        <v>25</v>
      </c>
      <c r="C20" s="55" t="s">
        <v>324</v>
      </c>
      <c r="D20" s="42"/>
      <c r="E20" s="6" t="s">
        <v>169</v>
      </c>
      <c r="F20" s="6"/>
      <c r="G20" s="6">
        <f>293674+50</f>
        <v>293724</v>
      </c>
      <c r="H20" s="6" t="s">
        <v>160</v>
      </c>
      <c r="I20" s="6"/>
      <c r="J20" s="11">
        <f>G20*0.2</f>
        <v>58744.8</v>
      </c>
      <c r="K20" s="11">
        <f>G20/70*30*0.2</f>
        <v>25176.34285714286</v>
      </c>
      <c r="L20" s="11">
        <v>0</v>
      </c>
      <c r="M20" s="12">
        <f t="shared" si="0"/>
        <v>83921.14285714287</v>
      </c>
      <c r="N20" s="43">
        <v>84000</v>
      </c>
      <c r="O20" s="42">
        <v>0</v>
      </c>
      <c r="P20" s="6"/>
      <c r="Q20" s="6" t="s">
        <v>149</v>
      </c>
      <c r="R20" s="6">
        <v>0</v>
      </c>
      <c r="S20" s="43">
        <v>0</v>
      </c>
    </row>
    <row r="21" spans="1:19" ht="33.75">
      <c r="A21" s="54" t="s">
        <v>128</v>
      </c>
      <c r="B21" s="6" t="s">
        <v>26</v>
      </c>
      <c r="C21" s="55" t="s">
        <v>324</v>
      </c>
      <c r="D21" s="42"/>
      <c r="E21" s="6" t="s">
        <v>171</v>
      </c>
      <c r="F21" s="6"/>
      <c r="G21" s="6">
        <v>138230</v>
      </c>
      <c r="H21" s="6" t="s">
        <v>160</v>
      </c>
      <c r="I21" s="6"/>
      <c r="J21" s="11">
        <f>G21*0.2</f>
        <v>27646</v>
      </c>
      <c r="K21" s="11">
        <f>G21/70*30*0.2</f>
        <v>11848.285714285716</v>
      </c>
      <c r="L21" s="11">
        <v>0</v>
      </c>
      <c r="M21" s="12">
        <f t="shared" si="0"/>
        <v>39494.28571428572</v>
      </c>
      <c r="N21" s="43">
        <v>39500</v>
      </c>
      <c r="O21" s="42">
        <v>0</v>
      </c>
      <c r="P21" s="6"/>
      <c r="Q21" s="6" t="s">
        <v>149</v>
      </c>
      <c r="R21" s="6">
        <v>0</v>
      </c>
      <c r="S21" s="43">
        <v>0</v>
      </c>
    </row>
    <row r="22" spans="1:19" ht="22.5">
      <c r="A22" s="54" t="s">
        <v>129</v>
      </c>
      <c r="B22" s="6" t="s">
        <v>27</v>
      </c>
      <c r="C22" s="55" t="s">
        <v>325</v>
      </c>
      <c r="D22" s="42"/>
      <c r="E22" s="6" t="s">
        <v>172</v>
      </c>
      <c r="F22" s="6"/>
      <c r="G22" s="6">
        <v>12</v>
      </c>
      <c r="H22" s="6" t="s">
        <v>173</v>
      </c>
      <c r="I22" s="6"/>
      <c r="J22" s="11">
        <v>12</v>
      </c>
      <c r="K22" s="11">
        <v>0</v>
      </c>
      <c r="L22" s="11">
        <v>0</v>
      </c>
      <c r="M22" s="12">
        <f t="shared" si="0"/>
        <v>12</v>
      </c>
      <c r="N22" s="43">
        <v>12</v>
      </c>
      <c r="O22" s="42">
        <v>0</v>
      </c>
      <c r="P22" s="6"/>
      <c r="Q22" s="6" t="s">
        <v>170</v>
      </c>
      <c r="R22" s="6">
        <v>0</v>
      </c>
      <c r="S22" s="43">
        <v>0</v>
      </c>
    </row>
    <row r="23" spans="1:19" ht="56.25">
      <c r="A23" s="54" t="s">
        <v>130</v>
      </c>
      <c r="B23" s="6" t="s">
        <v>28</v>
      </c>
      <c r="C23" s="55" t="s">
        <v>324</v>
      </c>
      <c r="D23" s="42"/>
      <c r="E23" s="6" t="s">
        <v>174</v>
      </c>
      <c r="F23" s="6"/>
      <c r="G23" s="6">
        <v>6398</v>
      </c>
      <c r="H23" s="6" t="s">
        <v>175</v>
      </c>
      <c r="I23" s="6"/>
      <c r="J23" s="11">
        <f>5400*0.1</f>
        <v>540</v>
      </c>
      <c r="K23" s="11">
        <f>998*0.1</f>
        <v>99.80000000000001</v>
      </c>
      <c r="L23" s="11">
        <v>0</v>
      </c>
      <c r="M23" s="12">
        <f t="shared" si="0"/>
        <v>639.8</v>
      </c>
      <c r="N23" s="43">
        <v>640</v>
      </c>
      <c r="O23" s="42">
        <v>0</v>
      </c>
      <c r="P23" s="6"/>
      <c r="Q23" s="6" t="s">
        <v>149</v>
      </c>
      <c r="R23" s="6">
        <v>0</v>
      </c>
      <c r="S23" s="43">
        <v>0</v>
      </c>
    </row>
    <row r="24" spans="1:19" ht="11.25">
      <c r="A24" s="54" t="s">
        <v>131</v>
      </c>
      <c r="B24" s="6" t="s">
        <v>29</v>
      </c>
      <c r="C24" s="55" t="s">
        <v>324</v>
      </c>
      <c r="D24" s="42"/>
      <c r="E24" s="6" t="s">
        <v>176</v>
      </c>
      <c r="F24" s="6"/>
      <c r="G24" s="6"/>
      <c r="H24" s="6" t="s">
        <v>176</v>
      </c>
      <c r="I24" s="6"/>
      <c r="J24" s="11">
        <v>0</v>
      </c>
      <c r="K24" s="11">
        <v>0</v>
      </c>
      <c r="L24" s="11">
        <v>0</v>
      </c>
      <c r="M24" s="12">
        <f t="shared" si="0"/>
        <v>0</v>
      </c>
      <c r="N24" s="43">
        <v>0</v>
      </c>
      <c r="O24" s="42">
        <v>0</v>
      </c>
      <c r="P24" s="6"/>
      <c r="Q24" s="6" t="s">
        <v>397</v>
      </c>
      <c r="R24" s="6">
        <v>0</v>
      </c>
      <c r="S24" s="43">
        <v>0</v>
      </c>
    </row>
    <row r="25" spans="1:19" s="8" customFormat="1" ht="33.75">
      <c r="A25" s="50" t="s">
        <v>327</v>
      </c>
      <c r="B25" s="4" t="s">
        <v>30</v>
      </c>
      <c r="C25" s="51"/>
      <c r="D25" s="38"/>
      <c r="E25" s="4"/>
      <c r="F25" s="4"/>
      <c r="G25" s="4"/>
      <c r="H25" s="4"/>
      <c r="I25" s="4"/>
      <c r="J25" s="4"/>
      <c r="K25" s="4"/>
      <c r="L25" s="4"/>
      <c r="M25" s="4"/>
      <c r="N25" s="39"/>
      <c r="O25" s="38"/>
      <c r="P25" s="4"/>
      <c r="Q25" s="4"/>
      <c r="R25" s="4"/>
      <c r="S25" s="39"/>
    </row>
    <row r="26" spans="1:19" ht="78.75">
      <c r="A26" s="54" t="s">
        <v>328</v>
      </c>
      <c r="B26" s="6" t="s">
        <v>31</v>
      </c>
      <c r="C26" s="55" t="s">
        <v>321</v>
      </c>
      <c r="D26" s="42"/>
      <c r="E26" s="6" t="s">
        <v>181</v>
      </c>
      <c r="F26" s="6"/>
      <c r="G26" s="6">
        <f>514745+95500+142</f>
        <v>610387</v>
      </c>
      <c r="H26" s="6" t="s">
        <v>178</v>
      </c>
      <c r="I26" s="6"/>
      <c r="J26" s="6">
        <f>G26*0.2</f>
        <v>122077.40000000001</v>
      </c>
      <c r="K26" s="6">
        <f>G26/85*15*0.2</f>
        <v>21543.070588235296</v>
      </c>
      <c r="L26" s="6">
        <v>0</v>
      </c>
      <c r="M26" s="12">
        <f>J26+K26+L26</f>
        <v>143620.4705882353</v>
      </c>
      <c r="N26" s="43">
        <f>M26</f>
        <v>143620.4705882353</v>
      </c>
      <c r="O26" s="42" t="s">
        <v>179</v>
      </c>
      <c r="P26" s="7">
        <f>(118402+8240+203)*3*5</f>
        <v>1902675</v>
      </c>
      <c r="Q26" s="6" t="s">
        <v>180</v>
      </c>
      <c r="R26" s="6">
        <f>P26*0.3</f>
        <v>570802.5</v>
      </c>
      <c r="S26" s="43">
        <v>570800</v>
      </c>
    </row>
    <row r="27" spans="1:19" ht="56.25">
      <c r="A27" s="54" t="s">
        <v>329</v>
      </c>
      <c r="B27" s="6" t="s">
        <v>32</v>
      </c>
      <c r="C27" s="55" t="s">
        <v>321</v>
      </c>
      <c r="D27" s="42"/>
      <c r="E27" s="6" t="s">
        <v>182</v>
      </c>
      <c r="F27" s="6"/>
      <c r="G27" s="6">
        <v>21709</v>
      </c>
      <c r="H27" s="6" t="s">
        <v>183</v>
      </c>
      <c r="I27" s="6"/>
      <c r="J27" s="6">
        <f>G27*0.1</f>
        <v>2170.9</v>
      </c>
      <c r="K27" s="6">
        <v>0</v>
      </c>
      <c r="L27" s="6">
        <v>0</v>
      </c>
      <c r="M27" s="12">
        <f>J27+K27+L27</f>
        <v>2170.9</v>
      </c>
      <c r="N27" s="43">
        <v>2170</v>
      </c>
      <c r="O27" s="42" t="s">
        <v>179</v>
      </c>
      <c r="P27" s="6">
        <f>8622*3*5</f>
        <v>129330</v>
      </c>
      <c r="Q27" s="6" t="s">
        <v>180</v>
      </c>
      <c r="R27" s="6">
        <f>P27*0.3</f>
        <v>38799</v>
      </c>
      <c r="S27" s="43">
        <v>38800</v>
      </c>
    </row>
    <row r="28" spans="1:19" ht="101.25">
      <c r="A28" s="54" t="s">
        <v>330</v>
      </c>
      <c r="B28" s="6" t="s">
        <v>33</v>
      </c>
      <c r="C28" s="55" t="s">
        <v>163</v>
      </c>
      <c r="D28" s="42"/>
      <c r="E28" s="6" t="s">
        <v>185</v>
      </c>
      <c r="F28" s="6"/>
      <c r="G28" s="6"/>
      <c r="H28" s="6" t="s">
        <v>184</v>
      </c>
      <c r="I28" s="6"/>
      <c r="J28" s="6">
        <f>(2500+2000+800+4300)*1*5</f>
        <v>48000</v>
      </c>
      <c r="K28" s="6">
        <v>0</v>
      </c>
      <c r="L28" s="6">
        <v>0</v>
      </c>
      <c r="M28" s="12">
        <f>J28+K28+L28</f>
        <v>48000</v>
      </c>
      <c r="N28" s="43">
        <f>M28</f>
        <v>48000</v>
      </c>
      <c r="O28" s="42"/>
      <c r="P28" s="6"/>
      <c r="Q28" s="6" t="s">
        <v>186</v>
      </c>
      <c r="R28" s="6">
        <f>(2500+2000+800+4300)*3*5</f>
        <v>144000</v>
      </c>
      <c r="S28" s="43">
        <v>144000</v>
      </c>
    </row>
    <row r="29" spans="1:19" s="8" customFormat="1" ht="33.75">
      <c r="A29" s="50" t="s">
        <v>331</v>
      </c>
      <c r="B29" s="4" t="s">
        <v>34</v>
      </c>
      <c r="C29" s="51"/>
      <c r="D29" s="38"/>
      <c r="E29" s="4"/>
      <c r="F29" s="4"/>
      <c r="G29" s="4"/>
      <c r="H29" s="4"/>
      <c r="I29" s="4"/>
      <c r="J29" s="4"/>
      <c r="K29" s="4"/>
      <c r="L29" s="4"/>
      <c r="M29" s="4"/>
      <c r="N29" s="39"/>
      <c r="O29" s="38"/>
      <c r="P29" s="4"/>
      <c r="Q29" s="4"/>
      <c r="R29" s="4"/>
      <c r="S29" s="39"/>
    </row>
    <row r="30" spans="1:19" ht="56.25">
      <c r="A30" s="54" t="s">
        <v>332</v>
      </c>
      <c r="B30" s="6" t="s">
        <v>35</v>
      </c>
      <c r="C30" s="55" t="s">
        <v>164</v>
      </c>
      <c r="D30" s="42"/>
      <c r="E30" s="6" t="s">
        <v>187</v>
      </c>
      <c r="F30" s="6"/>
      <c r="G30" s="6">
        <f>890*12</f>
        <v>10680</v>
      </c>
      <c r="H30" s="6" t="s">
        <v>188</v>
      </c>
      <c r="I30" s="6"/>
      <c r="J30" s="6">
        <f>G30*0.2</f>
        <v>2136</v>
      </c>
      <c r="K30" s="11">
        <f>G30/70*30*0.2</f>
        <v>915.4285714285716</v>
      </c>
      <c r="L30" s="6">
        <v>0</v>
      </c>
      <c r="M30" s="12">
        <f>J30+K30+L30</f>
        <v>3051.4285714285716</v>
      </c>
      <c r="N30" s="43">
        <v>3050</v>
      </c>
      <c r="O30" s="42"/>
      <c r="P30" s="6"/>
      <c r="Q30" s="6" t="s">
        <v>190</v>
      </c>
      <c r="R30" s="6">
        <f>2000*3*5</f>
        <v>30000</v>
      </c>
      <c r="S30" s="43">
        <f>R30</f>
        <v>30000</v>
      </c>
    </row>
    <row r="31" spans="1:19" ht="56.25">
      <c r="A31" s="54" t="s">
        <v>333</v>
      </c>
      <c r="B31" s="6" t="s">
        <v>36</v>
      </c>
      <c r="C31" s="55" t="s">
        <v>164</v>
      </c>
      <c r="D31" s="42"/>
      <c r="E31" s="6" t="s">
        <v>191</v>
      </c>
      <c r="F31" s="6"/>
      <c r="G31" s="6">
        <v>25000</v>
      </c>
      <c r="H31" s="6" t="s">
        <v>192</v>
      </c>
      <c r="I31" s="6"/>
      <c r="J31" s="6">
        <f>G31*0.15</f>
        <v>3750</v>
      </c>
      <c r="K31" s="6">
        <v>0</v>
      </c>
      <c r="L31" s="6">
        <v>0</v>
      </c>
      <c r="M31" s="12">
        <f>J31+K31+L31</f>
        <v>3750</v>
      </c>
      <c r="N31" s="43">
        <f>M31</f>
        <v>3750</v>
      </c>
      <c r="O31" s="42"/>
      <c r="P31" s="6"/>
      <c r="Q31" s="6" t="s">
        <v>193</v>
      </c>
      <c r="R31" s="6">
        <f>400*15</f>
        <v>6000</v>
      </c>
      <c r="S31" s="43">
        <f>R31</f>
        <v>6000</v>
      </c>
    </row>
    <row r="32" spans="1:19" ht="67.5">
      <c r="A32" s="54" t="s">
        <v>334</v>
      </c>
      <c r="B32" s="6" t="s">
        <v>37</v>
      </c>
      <c r="C32" s="55" t="s">
        <v>164</v>
      </c>
      <c r="D32" s="42"/>
      <c r="E32" s="6" t="s">
        <v>194</v>
      </c>
      <c r="F32" s="6"/>
      <c r="G32" s="6">
        <v>293718</v>
      </c>
      <c r="H32" s="6" t="s">
        <v>195</v>
      </c>
      <c r="I32" s="6"/>
      <c r="J32" s="6">
        <f>G32*0.2</f>
        <v>58743.600000000006</v>
      </c>
      <c r="K32" s="11">
        <f>G32/70*30*0.2</f>
        <v>25175.828571428574</v>
      </c>
      <c r="L32" s="6">
        <v>0</v>
      </c>
      <c r="M32" s="12">
        <f>J32+K32+L32</f>
        <v>83919.42857142858</v>
      </c>
      <c r="N32" s="43">
        <v>83920</v>
      </c>
      <c r="O32" s="42"/>
      <c r="P32" s="6"/>
      <c r="Q32" s="6" t="s">
        <v>198</v>
      </c>
      <c r="R32" s="6">
        <f>2500*3*5</f>
        <v>37500</v>
      </c>
      <c r="S32" s="43">
        <f>R32</f>
        <v>37500</v>
      </c>
    </row>
    <row r="33" spans="1:19" ht="67.5">
      <c r="A33" s="54" t="s">
        <v>335</v>
      </c>
      <c r="B33" s="6" t="s">
        <v>38</v>
      </c>
      <c r="C33" s="55" t="s">
        <v>164</v>
      </c>
      <c r="D33" s="42"/>
      <c r="E33" s="6" t="s">
        <v>196</v>
      </c>
      <c r="F33" s="6"/>
      <c r="G33" s="6">
        <v>6254883</v>
      </c>
      <c r="H33" s="6" t="s">
        <v>197</v>
      </c>
      <c r="I33" s="6"/>
      <c r="J33" s="6">
        <f>G33*0.2</f>
        <v>1250976.6</v>
      </c>
      <c r="K33" s="6">
        <v>0</v>
      </c>
      <c r="L33" s="6">
        <v>0</v>
      </c>
      <c r="M33" s="12">
        <f>J33+K33+L33</f>
        <v>1250976.6</v>
      </c>
      <c r="N33" s="43">
        <v>1250900</v>
      </c>
      <c r="O33" s="42"/>
      <c r="P33" s="6"/>
      <c r="Q33" s="6" t="s">
        <v>199</v>
      </c>
      <c r="R33" s="6">
        <f>3000*25</f>
        <v>75000</v>
      </c>
      <c r="S33" s="43">
        <f>R33</f>
        <v>75000</v>
      </c>
    </row>
    <row r="34" spans="1:19" s="8" customFormat="1" ht="33.75">
      <c r="A34" s="50" t="s">
        <v>336</v>
      </c>
      <c r="B34" s="4" t="s">
        <v>39</v>
      </c>
      <c r="C34" s="51"/>
      <c r="D34" s="38"/>
      <c r="E34" s="4"/>
      <c r="F34" s="4"/>
      <c r="G34" s="4"/>
      <c r="H34" s="4"/>
      <c r="I34" s="4"/>
      <c r="J34" s="4"/>
      <c r="K34" s="4"/>
      <c r="L34" s="4"/>
      <c r="M34" s="4"/>
      <c r="N34" s="39"/>
      <c r="O34" s="38"/>
      <c r="P34" s="4"/>
      <c r="Q34" s="4"/>
      <c r="R34" s="4"/>
      <c r="S34" s="39"/>
    </row>
    <row r="35" spans="1:19" ht="22.5">
      <c r="A35" s="54" t="s">
        <v>337</v>
      </c>
      <c r="B35" s="6" t="s">
        <v>40</v>
      </c>
      <c r="C35" s="55" t="s">
        <v>322</v>
      </c>
      <c r="D35" s="42"/>
      <c r="E35" s="6" t="s">
        <v>176</v>
      </c>
      <c r="F35" s="6"/>
      <c r="G35" s="6"/>
      <c r="H35" s="6" t="s">
        <v>176</v>
      </c>
      <c r="I35" s="6"/>
      <c r="J35" s="11">
        <v>0</v>
      </c>
      <c r="K35" s="11">
        <v>0</v>
      </c>
      <c r="L35" s="11">
        <v>0</v>
      </c>
      <c r="M35" s="12">
        <f aca="true" t="shared" si="1" ref="M35:M48">J35+K35+L35</f>
        <v>0</v>
      </c>
      <c r="N35" s="43">
        <v>0</v>
      </c>
      <c r="O35" s="42"/>
      <c r="P35" s="6"/>
      <c r="Q35" s="6" t="s">
        <v>396</v>
      </c>
      <c r="R35" s="6">
        <v>0</v>
      </c>
      <c r="S35" s="43">
        <v>0</v>
      </c>
    </row>
    <row r="36" spans="1:19" ht="56.25">
      <c r="A36" s="54" t="s">
        <v>338</v>
      </c>
      <c r="B36" s="6" t="s">
        <v>41</v>
      </c>
      <c r="C36" s="55" t="s">
        <v>164</v>
      </c>
      <c r="D36" s="42"/>
      <c r="E36" s="6" t="s">
        <v>200</v>
      </c>
      <c r="F36" s="6"/>
      <c r="G36" s="6">
        <v>232450</v>
      </c>
      <c r="H36" s="6" t="s">
        <v>201</v>
      </c>
      <c r="I36" s="6"/>
      <c r="J36" s="6">
        <f>G36*0.5</f>
        <v>116225</v>
      </c>
      <c r="K36" s="6">
        <v>0</v>
      </c>
      <c r="L36" s="6">
        <v>0</v>
      </c>
      <c r="M36" s="12">
        <f t="shared" si="1"/>
        <v>116225</v>
      </c>
      <c r="N36" s="43">
        <f>M36</f>
        <v>116225</v>
      </c>
      <c r="O36" s="42"/>
      <c r="P36" s="6"/>
      <c r="Q36" s="6" t="s">
        <v>202</v>
      </c>
      <c r="R36" s="6">
        <v>0</v>
      </c>
      <c r="S36" s="43">
        <v>0</v>
      </c>
    </row>
    <row r="37" spans="1:19" ht="33.75">
      <c r="A37" s="54" t="s">
        <v>339</v>
      </c>
      <c r="B37" s="6" t="s">
        <v>42</v>
      </c>
      <c r="C37" s="55" t="s">
        <v>323</v>
      </c>
      <c r="D37" s="42"/>
      <c r="E37" s="6" t="s">
        <v>176</v>
      </c>
      <c r="F37" s="6"/>
      <c r="G37" s="6"/>
      <c r="H37" s="6" t="s">
        <v>176</v>
      </c>
      <c r="I37" s="6"/>
      <c r="J37" s="11">
        <v>0</v>
      </c>
      <c r="K37" s="11">
        <v>0</v>
      </c>
      <c r="L37" s="11">
        <v>0</v>
      </c>
      <c r="M37" s="12">
        <f t="shared" si="1"/>
        <v>0</v>
      </c>
      <c r="N37" s="43">
        <v>0</v>
      </c>
      <c r="O37" s="42"/>
      <c r="P37" s="6"/>
      <c r="Q37" s="6" t="s">
        <v>203</v>
      </c>
      <c r="R37" s="6">
        <v>0</v>
      </c>
      <c r="S37" s="43">
        <v>0</v>
      </c>
    </row>
    <row r="38" spans="1:19" ht="11.25">
      <c r="A38" s="54" t="s">
        <v>340</v>
      </c>
      <c r="B38" s="6" t="s">
        <v>43</v>
      </c>
      <c r="C38" s="55" t="s">
        <v>323</v>
      </c>
      <c r="D38" s="42"/>
      <c r="E38" s="6" t="s">
        <v>204</v>
      </c>
      <c r="F38" s="6"/>
      <c r="G38" s="6"/>
      <c r="H38" s="6"/>
      <c r="I38" s="6"/>
      <c r="J38" s="6">
        <v>0</v>
      </c>
      <c r="K38" s="6">
        <v>0</v>
      </c>
      <c r="L38" s="6">
        <v>0</v>
      </c>
      <c r="M38" s="12">
        <f t="shared" si="1"/>
        <v>0</v>
      </c>
      <c r="N38" s="43">
        <v>0</v>
      </c>
      <c r="O38" s="42"/>
      <c r="P38" s="6"/>
      <c r="Q38" s="6" t="s">
        <v>204</v>
      </c>
      <c r="R38" s="6">
        <v>0</v>
      </c>
      <c r="S38" s="43">
        <v>0</v>
      </c>
    </row>
    <row r="39" spans="1:19" ht="56.25">
      <c r="A39" s="54" t="s">
        <v>350</v>
      </c>
      <c r="B39" s="6" t="s">
        <v>44</v>
      </c>
      <c r="C39" s="55" t="s">
        <v>323</v>
      </c>
      <c r="D39" s="42"/>
      <c r="E39" s="6" t="s">
        <v>205</v>
      </c>
      <c r="F39" s="6"/>
      <c r="G39" s="6">
        <v>744844</v>
      </c>
      <c r="H39" s="6" t="s">
        <v>206</v>
      </c>
      <c r="I39" s="6"/>
      <c r="J39" s="6">
        <v>0</v>
      </c>
      <c r="K39" s="6">
        <v>0</v>
      </c>
      <c r="L39" s="6">
        <v>0</v>
      </c>
      <c r="M39" s="12">
        <f>G39*0.1</f>
        <v>74484.40000000001</v>
      </c>
      <c r="N39" s="43">
        <v>74450</v>
      </c>
      <c r="O39" s="42"/>
      <c r="P39" s="6"/>
      <c r="Q39" s="6" t="s">
        <v>207</v>
      </c>
      <c r="R39" s="6">
        <f>5472*0.1*8*10</f>
        <v>43776</v>
      </c>
      <c r="S39" s="43">
        <v>43780</v>
      </c>
    </row>
    <row r="40" spans="1:19" ht="22.5">
      <c r="A40" s="54" t="s">
        <v>341</v>
      </c>
      <c r="B40" s="6" t="s">
        <v>45</v>
      </c>
      <c r="C40" s="55" t="s">
        <v>322</v>
      </c>
      <c r="D40" s="42"/>
      <c r="E40" s="6" t="s">
        <v>176</v>
      </c>
      <c r="F40" s="6"/>
      <c r="G40" s="6"/>
      <c r="H40" s="6" t="s">
        <v>176</v>
      </c>
      <c r="I40" s="6"/>
      <c r="J40" s="11">
        <v>0</v>
      </c>
      <c r="K40" s="11">
        <v>0</v>
      </c>
      <c r="L40" s="11">
        <v>0</v>
      </c>
      <c r="M40" s="12">
        <f t="shared" si="1"/>
        <v>0</v>
      </c>
      <c r="N40" s="43">
        <v>0</v>
      </c>
      <c r="O40" s="42"/>
      <c r="P40" s="6"/>
      <c r="Q40" s="6" t="s">
        <v>176</v>
      </c>
      <c r="R40" s="6">
        <v>0</v>
      </c>
      <c r="S40" s="43">
        <v>0</v>
      </c>
    </row>
    <row r="41" spans="1:19" ht="67.5">
      <c r="A41" s="54" t="s">
        <v>342</v>
      </c>
      <c r="B41" s="6" t="s">
        <v>46</v>
      </c>
      <c r="C41" s="55" t="s">
        <v>323</v>
      </c>
      <c r="D41" s="42"/>
      <c r="E41" s="6" t="s">
        <v>208</v>
      </c>
      <c r="F41" s="6"/>
      <c r="G41" s="6">
        <v>303940</v>
      </c>
      <c r="H41" s="6" t="s">
        <v>206</v>
      </c>
      <c r="I41" s="6"/>
      <c r="J41" s="6">
        <v>0</v>
      </c>
      <c r="K41" s="6">
        <v>0</v>
      </c>
      <c r="L41" s="6">
        <v>0</v>
      </c>
      <c r="M41" s="12">
        <f>G41*0.1</f>
        <v>30394</v>
      </c>
      <c r="N41" s="43">
        <v>30400</v>
      </c>
      <c r="O41" s="42"/>
      <c r="P41" s="6"/>
      <c r="Q41" s="6" t="s">
        <v>209</v>
      </c>
      <c r="R41" s="6">
        <f>8532*0.1*12*10</f>
        <v>102384.00000000001</v>
      </c>
      <c r="S41" s="43">
        <f>R41</f>
        <v>102384.00000000001</v>
      </c>
    </row>
    <row r="42" spans="1:19" ht="45">
      <c r="A42" s="54" t="s">
        <v>343</v>
      </c>
      <c r="B42" s="6" t="s">
        <v>47</v>
      </c>
      <c r="C42" s="55" t="s">
        <v>323</v>
      </c>
      <c r="D42" s="42"/>
      <c r="E42" s="6" t="s">
        <v>210</v>
      </c>
      <c r="F42" s="6"/>
      <c r="G42" s="6">
        <f>23729+54279009</f>
        <v>54302738</v>
      </c>
      <c r="H42" s="6" t="s">
        <v>206</v>
      </c>
      <c r="I42" s="6"/>
      <c r="J42" s="6">
        <v>0</v>
      </c>
      <c r="K42" s="6">
        <v>0</v>
      </c>
      <c r="L42" s="6">
        <v>0</v>
      </c>
      <c r="M42" s="60">
        <f>G42*0.1</f>
        <v>5430273.800000001</v>
      </c>
      <c r="N42" s="61">
        <v>5430300</v>
      </c>
      <c r="O42" s="42"/>
      <c r="P42" s="6"/>
      <c r="Q42" s="6" t="s">
        <v>211</v>
      </c>
      <c r="R42" s="6">
        <f>34000*0.1*24*10</f>
        <v>816000</v>
      </c>
      <c r="S42" s="43">
        <f>R42</f>
        <v>816000</v>
      </c>
    </row>
    <row r="43" spans="1:19" ht="11.25">
      <c r="A43" s="54" t="s">
        <v>344</v>
      </c>
      <c r="B43" s="6" t="s">
        <v>48</v>
      </c>
      <c r="C43" s="55" t="s">
        <v>323</v>
      </c>
      <c r="D43" s="42"/>
      <c r="E43" s="6" t="s">
        <v>204</v>
      </c>
      <c r="F43" s="6"/>
      <c r="G43" s="6"/>
      <c r="H43" s="6"/>
      <c r="I43" s="6"/>
      <c r="J43" s="6">
        <v>0</v>
      </c>
      <c r="K43" s="6">
        <v>0</v>
      </c>
      <c r="L43" s="6">
        <v>0</v>
      </c>
      <c r="M43" s="12">
        <f t="shared" si="1"/>
        <v>0</v>
      </c>
      <c r="N43" s="43">
        <v>0</v>
      </c>
      <c r="O43" s="42"/>
      <c r="P43" s="6"/>
      <c r="Q43" s="6" t="s">
        <v>212</v>
      </c>
      <c r="R43" s="6">
        <v>0</v>
      </c>
      <c r="S43" s="43">
        <v>0</v>
      </c>
    </row>
    <row r="44" spans="1:19" ht="90">
      <c r="A44" s="54" t="s">
        <v>345</v>
      </c>
      <c r="B44" s="6" t="s">
        <v>49</v>
      </c>
      <c r="C44" s="55" t="s">
        <v>163</v>
      </c>
      <c r="D44" s="42"/>
      <c r="E44" s="6" t="s">
        <v>176</v>
      </c>
      <c r="F44" s="6"/>
      <c r="G44" s="6"/>
      <c r="H44" s="6" t="s">
        <v>176</v>
      </c>
      <c r="I44" s="6"/>
      <c r="J44" s="11">
        <v>0</v>
      </c>
      <c r="K44" s="11">
        <v>0</v>
      </c>
      <c r="L44" s="11">
        <v>0</v>
      </c>
      <c r="M44" s="12">
        <f t="shared" si="1"/>
        <v>0</v>
      </c>
      <c r="N44" s="43">
        <v>0</v>
      </c>
      <c r="O44" s="42"/>
      <c r="P44" s="6"/>
      <c r="Q44" s="6" t="s">
        <v>213</v>
      </c>
      <c r="R44" s="6">
        <f>4996*0.1*12*10</f>
        <v>59952.00000000001</v>
      </c>
      <c r="S44" s="43">
        <v>60000</v>
      </c>
    </row>
    <row r="45" spans="1:19" ht="45">
      <c r="A45" s="54" t="s">
        <v>346</v>
      </c>
      <c r="B45" s="6" t="s">
        <v>50</v>
      </c>
      <c r="C45" s="55" t="s">
        <v>323</v>
      </c>
      <c r="D45" s="42"/>
      <c r="E45" s="6" t="s">
        <v>428</v>
      </c>
      <c r="F45" s="6"/>
      <c r="G45" s="6">
        <f>1551726+15213</f>
        <v>1566939</v>
      </c>
      <c r="H45" s="6" t="s">
        <v>206</v>
      </c>
      <c r="I45" s="6"/>
      <c r="J45" s="6">
        <v>0</v>
      </c>
      <c r="K45" s="6">
        <v>0</v>
      </c>
      <c r="L45" s="6">
        <v>0</v>
      </c>
      <c r="M45" s="12">
        <f>G45*0.1</f>
        <v>156693.9</v>
      </c>
      <c r="N45" s="43">
        <v>156700</v>
      </c>
      <c r="O45" s="42"/>
      <c r="P45" s="6"/>
      <c r="Q45" s="6" t="s">
        <v>427</v>
      </c>
      <c r="R45" s="6">
        <f>(26224+223)*0.1*20*5</f>
        <v>264470.00000000006</v>
      </c>
      <c r="S45" s="43">
        <f>R45</f>
        <v>264470.00000000006</v>
      </c>
    </row>
    <row r="46" spans="1:19" ht="45">
      <c r="A46" s="54" t="s">
        <v>347</v>
      </c>
      <c r="B46" s="6" t="s">
        <v>51</v>
      </c>
      <c r="C46" s="55" t="s">
        <v>323</v>
      </c>
      <c r="D46" s="42"/>
      <c r="E46" s="6" t="s">
        <v>425</v>
      </c>
      <c r="F46" s="6"/>
      <c r="G46" s="6">
        <v>4131030</v>
      </c>
      <c r="H46" s="6" t="s">
        <v>206</v>
      </c>
      <c r="I46" s="6"/>
      <c r="J46" s="6">
        <v>0</v>
      </c>
      <c r="K46" s="6">
        <v>0</v>
      </c>
      <c r="L46" s="6">
        <v>0</v>
      </c>
      <c r="M46" s="12">
        <f>G46*0.1</f>
        <v>413103</v>
      </c>
      <c r="N46" s="43">
        <f>413100</f>
        <v>413100</v>
      </c>
      <c r="O46" s="42"/>
      <c r="P46" s="6"/>
      <c r="Q46" s="6" t="s">
        <v>214</v>
      </c>
      <c r="R46" s="6">
        <f>15780*0.1*16*5</f>
        <v>126240</v>
      </c>
      <c r="S46" s="43">
        <f>R46</f>
        <v>126240</v>
      </c>
    </row>
    <row r="47" spans="1:19" ht="56.25">
      <c r="A47" s="54" t="s">
        <v>348</v>
      </c>
      <c r="B47" s="6" t="s">
        <v>52</v>
      </c>
      <c r="C47" s="55" t="s">
        <v>163</v>
      </c>
      <c r="D47" s="42"/>
      <c r="E47" s="6" t="s">
        <v>215</v>
      </c>
      <c r="F47" s="6"/>
      <c r="G47" s="6"/>
      <c r="H47" s="6"/>
      <c r="I47" s="6"/>
      <c r="J47" s="6">
        <v>0</v>
      </c>
      <c r="K47" s="6">
        <v>0</v>
      </c>
      <c r="L47" s="6">
        <v>0</v>
      </c>
      <c r="M47" s="12">
        <f t="shared" si="1"/>
        <v>0</v>
      </c>
      <c r="N47" s="43">
        <v>0</v>
      </c>
      <c r="O47" s="42"/>
      <c r="P47" s="6"/>
      <c r="Q47" s="6" t="s">
        <v>204</v>
      </c>
      <c r="R47" s="6">
        <v>0</v>
      </c>
      <c r="S47" s="43">
        <v>0</v>
      </c>
    </row>
    <row r="48" spans="1:19" ht="56.25">
      <c r="A48" s="54" t="s">
        <v>349</v>
      </c>
      <c r="B48" s="6" t="s">
        <v>53</v>
      </c>
      <c r="C48" s="55" t="s">
        <v>165</v>
      </c>
      <c r="D48" s="42"/>
      <c r="E48" s="6" t="s">
        <v>176</v>
      </c>
      <c r="F48" s="6"/>
      <c r="G48" s="6"/>
      <c r="H48" s="6" t="s">
        <v>176</v>
      </c>
      <c r="I48" s="6"/>
      <c r="J48" s="11">
        <v>0</v>
      </c>
      <c r="K48" s="11">
        <v>0</v>
      </c>
      <c r="L48" s="11">
        <v>0</v>
      </c>
      <c r="M48" s="12">
        <f t="shared" si="1"/>
        <v>0</v>
      </c>
      <c r="N48" s="43">
        <v>0</v>
      </c>
      <c r="O48" s="42"/>
      <c r="P48" s="6"/>
      <c r="Q48" s="6" t="s">
        <v>216</v>
      </c>
      <c r="R48" s="6">
        <f>9046*0.6*100</f>
        <v>542760</v>
      </c>
      <c r="S48" s="43">
        <f>R48</f>
        <v>542760</v>
      </c>
    </row>
    <row r="49" spans="1:19" s="8" customFormat="1" ht="33.75">
      <c r="A49" s="48">
        <v>7</v>
      </c>
      <c r="B49" s="3" t="s">
        <v>54</v>
      </c>
      <c r="C49" s="49"/>
      <c r="D49" s="36"/>
      <c r="E49" s="3"/>
      <c r="F49" s="3"/>
      <c r="G49" s="3"/>
      <c r="H49" s="3"/>
      <c r="I49" s="3"/>
      <c r="J49" s="3"/>
      <c r="K49" s="3"/>
      <c r="L49" s="3"/>
      <c r="M49" s="3"/>
      <c r="N49" s="37"/>
      <c r="O49" s="36"/>
      <c r="P49" s="3"/>
      <c r="Q49" s="3"/>
      <c r="R49" s="3"/>
      <c r="S49" s="37"/>
    </row>
    <row r="50" spans="1:19" s="8" customFormat="1" ht="22.5">
      <c r="A50" s="50" t="s">
        <v>82</v>
      </c>
      <c r="B50" s="4" t="s">
        <v>56</v>
      </c>
      <c r="C50" s="51"/>
      <c r="D50" s="38"/>
      <c r="E50" s="4"/>
      <c r="F50" s="4"/>
      <c r="G50" s="4"/>
      <c r="H50" s="4"/>
      <c r="I50" s="4"/>
      <c r="J50" s="4"/>
      <c r="K50" s="4"/>
      <c r="L50" s="4"/>
      <c r="M50" s="4"/>
      <c r="N50" s="39"/>
      <c r="O50" s="38"/>
      <c r="P50" s="4"/>
      <c r="Q50" s="4"/>
      <c r="R50" s="4"/>
      <c r="S50" s="39"/>
    </row>
    <row r="51" spans="1:19" ht="67.5">
      <c r="A51" s="54" t="s">
        <v>132</v>
      </c>
      <c r="B51" s="6" t="s">
        <v>57</v>
      </c>
      <c r="C51" s="55" t="s">
        <v>323</v>
      </c>
      <c r="D51" s="42"/>
      <c r="E51" s="6" t="s">
        <v>218</v>
      </c>
      <c r="F51" s="6"/>
      <c r="G51" s="6"/>
      <c r="H51" s="6" t="s">
        <v>219</v>
      </c>
      <c r="I51" s="6"/>
      <c r="J51" s="6">
        <f>9000*10</f>
        <v>90000</v>
      </c>
      <c r="K51" s="6">
        <v>0</v>
      </c>
      <c r="L51" s="6">
        <v>0</v>
      </c>
      <c r="M51" s="12">
        <f>J51+K51+L51</f>
        <v>90000</v>
      </c>
      <c r="N51" s="43">
        <f>M51</f>
        <v>90000</v>
      </c>
      <c r="O51" s="42"/>
      <c r="P51" s="6"/>
      <c r="Q51" s="6" t="s">
        <v>217</v>
      </c>
      <c r="R51" s="6">
        <f>2000*3*2+9000*2*5</f>
        <v>102000</v>
      </c>
      <c r="S51" s="43">
        <f>R51</f>
        <v>102000</v>
      </c>
    </row>
    <row r="52" spans="1:19" ht="67.5">
      <c r="A52" s="54" t="s">
        <v>133</v>
      </c>
      <c r="B52" s="6" t="s">
        <v>58</v>
      </c>
      <c r="C52" s="55" t="s">
        <v>164</v>
      </c>
      <c r="D52" s="42"/>
      <c r="E52" s="6" t="s">
        <v>221</v>
      </c>
      <c r="F52" s="6"/>
      <c r="G52" s="6"/>
      <c r="H52" s="6"/>
      <c r="I52" s="6"/>
      <c r="J52" s="6">
        <v>0</v>
      </c>
      <c r="K52" s="6">
        <v>0</v>
      </c>
      <c r="L52" s="6">
        <v>0</v>
      </c>
      <c r="M52" s="12">
        <f>J52+K52+L52</f>
        <v>0</v>
      </c>
      <c r="N52" s="43">
        <v>0</v>
      </c>
      <c r="O52" s="42"/>
      <c r="P52" s="6"/>
      <c r="Q52" s="6" t="s">
        <v>220</v>
      </c>
      <c r="R52" s="6">
        <f>667000*0.5</f>
        <v>333500</v>
      </c>
      <c r="S52" s="43">
        <f>R52</f>
        <v>333500</v>
      </c>
    </row>
    <row r="53" spans="1:19" ht="56.25">
      <c r="A53" s="54" t="s">
        <v>351</v>
      </c>
      <c r="B53" s="6" t="s">
        <v>59</v>
      </c>
      <c r="C53" s="55" t="s">
        <v>323</v>
      </c>
      <c r="D53" s="42"/>
      <c r="E53" s="6" t="s">
        <v>222</v>
      </c>
      <c r="F53" s="6"/>
      <c r="G53" s="11">
        <f>16217*3.23+3691</f>
        <v>56071.909999999996</v>
      </c>
      <c r="H53" s="6" t="s">
        <v>223</v>
      </c>
      <c r="I53" s="6"/>
      <c r="J53" s="6">
        <v>0</v>
      </c>
      <c r="K53" s="6">
        <v>0</v>
      </c>
      <c r="L53" s="6">
        <v>0</v>
      </c>
      <c r="M53" s="12">
        <f>J53+K53+L53</f>
        <v>0</v>
      </c>
      <c r="N53" s="43">
        <v>0</v>
      </c>
      <c r="O53" s="42"/>
      <c r="P53" s="6"/>
      <c r="Q53" s="6" t="s">
        <v>224</v>
      </c>
      <c r="R53" s="6">
        <f>16000*2*5</f>
        <v>160000</v>
      </c>
      <c r="S53" s="43">
        <f>R53</f>
        <v>160000</v>
      </c>
    </row>
    <row r="54" spans="1:19" s="8" customFormat="1" ht="22.5">
      <c r="A54" s="50" t="s">
        <v>86</v>
      </c>
      <c r="B54" s="4" t="s">
        <v>61</v>
      </c>
      <c r="C54" s="51"/>
      <c r="D54" s="38"/>
      <c r="E54" s="4"/>
      <c r="F54" s="4"/>
      <c r="G54" s="4"/>
      <c r="H54" s="4"/>
      <c r="I54" s="4"/>
      <c r="J54" s="4"/>
      <c r="K54" s="4"/>
      <c r="L54" s="4"/>
      <c r="M54" s="4"/>
      <c r="N54" s="39"/>
      <c r="O54" s="38"/>
      <c r="P54" s="4"/>
      <c r="Q54" s="4"/>
      <c r="R54" s="4"/>
      <c r="S54" s="39"/>
    </row>
    <row r="55" spans="1:19" ht="67.5">
      <c r="A55" s="54" t="s">
        <v>134</v>
      </c>
      <c r="B55" s="6" t="s">
        <v>62</v>
      </c>
      <c r="C55" s="55" t="s">
        <v>321</v>
      </c>
      <c r="D55" s="42"/>
      <c r="E55" s="6" t="s">
        <v>225</v>
      </c>
      <c r="F55" s="6"/>
      <c r="G55" s="11">
        <v>15923.62</v>
      </c>
      <c r="H55" s="6" t="s">
        <v>226</v>
      </c>
      <c r="I55" s="6"/>
      <c r="J55" s="11">
        <f>G55*0.4</f>
        <v>6369.448</v>
      </c>
      <c r="K55" s="11">
        <f>G55/70*30*0.4</f>
        <v>2729.7634285714284</v>
      </c>
      <c r="L55" s="11">
        <v>0</v>
      </c>
      <c r="M55" s="12">
        <f aca="true" t="shared" si="2" ref="M55:M73">J55+K55+L55</f>
        <v>9099.211428571429</v>
      </c>
      <c r="N55" s="43">
        <v>9100</v>
      </c>
      <c r="O55" s="42"/>
      <c r="P55" s="6"/>
      <c r="Q55" s="6" t="s">
        <v>227</v>
      </c>
      <c r="R55" s="6">
        <f>150*25+58*40</f>
        <v>6070</v>
      </c>
      <c r="S55" s="43">
        <v>6000</v>
      </c>
    </row>
    <row r="56" spans="1:19" ht="11.25">
      <c r="A56" s="54" t="s">
        <v>352</v>
      </c>
      <c r="B56" s="6" t="s">
        <v>63</v>
      </c>
      <c r="C56" s="55" t="s">
        <v>321</v>
      </c>
      <c r="D56" s="42"/>
      <c r="E56" s="6" t="s">
        <v>228</v>
      </c>
      <c r="F56" s="6"/>
      <c r="G56" s="6"/>
      <c r="H56" s="6"/>
      <c r="I56" s="6"/>
      <c r="J56" s="6">
        <v>0</v>
      </c>
      <c r="K56" s="6">
        <v>0</v>
      </c>
      <c r="L56" s="6">
        <v>0</v>
      </c>
      <c r="M56" s="12">
        <f t="shared" si="2"/>
        <v>0</v>
      </c>
      <c r="N56" s="43">
        <v>0</v>
      </c>
      <c r="O56" s="42"/>
      <c r="P56" s="6"/>
      <c r="Q56" s="6" t="s">
        <v>228</v>
      </c>
      <c r="R56" s="6">
        <v>0</v>
      </c>
      <c r="S56" s="43">
        <v>0</v>
      </c>
    </row>
    <row r="57" spans="1:19" ht="22.5">
      <c r="A57" s="54" t="s">
        <v>353</v>
      </c>
      <c r="B57" s="6" t="s">
        <v>64</v>
      </c>
      <c r="C57" s="55" t="s">
        <v>321</v>
      </c>
      <c r="D57" s="42"/>
      <c r="E57" s="6" t="s">
        <v>228</v>
      </c>
      <c r="F57" s="6"/>
      <c r="G57" s="6"/>
      <c r="H57" s="6"/>
      <c r="I57" s="6"/>
      <c r="J57" s="6">
        <v>0</v>
      </c>
      <c r="K57" s="6">
        <v>0</v>
      </c>
      <c r="L57" s="6">
        <v>0</v>
      </c>
      <c r="M57" s="12">
        <f t="shared" si="2"/>
        <v>0</v>
      </c>
      <c r="N57" s="43">
        <v>0</v>
      </c>
      <c r="O57" s="42"/>
      <c r="P57" s="6"/>
      <c r="Q57" s="6" t="s">
        <v>229</v>
      </c>
      <c r="R57" s="6">
        <v>0</v>
      </c>
      <c r="S57" s="43">
        <v>0</v>
      </c>
    </row>
    <row r="58" spans="1:19" ht="56.25">
      <c r="A58" s="54" t="s">
        <v>354</v>
      </c>
      <c r="B58" s="6" t="s">
        <v>65</v>
      </c>
      <c r="C58" s="55" t="s">
        <v>321</v>
      </c>
      <c r="D58" s="42"/>
      <c r="E58" s="6" t="s">
        <v>230</v>
      </c>
      <c r="F58" s="6"/>
      <c r="G58" s="6">
        <f>454*3.23+200*0.25+3691</f>
        <v>5207.42</v>
      </c>
      <c r="H58" s="6" t="s">
        <v>231</v>
      </c>
      <c r="I58" s="6"/>
      <c r="J58" s="6">
        <f>302*3.23+133*0.25</f>
        <v>1008.71</v>
      </c>
      <c r="K58" s="6">
        <f>3691*0.33</f>
        <v>1218.03</v>
      </c>
      <c r="L58" s="6"/>
      <c r="M58" s="12">
        <f t="shared" si="2"/>
        <v>2226.74</v>
      </c>
      <c r="N58" s="43">
        <v>2230</v>
      </c>
      <c r="O58" s="42"/>
      <c r="P58" s="6"/>
      <c r="Q58" s="6" t="s">
        <v>232</v>
      </c>
      <c r="R58" s="6">
        <f>302*1*5+133*3*5</f>
        <v>3505</v>
      </c>
      <c r="S58" s="43">
        <v>3500</v>
      </c>
    </row>
    <row r="59" spans="1:19" ht="33.75">
      <c r="A59" s="54" t="s">
        <v>355</v>
      </c>
      <c r="B59" s="6" t="s">
        <v>66</v>
      </c>
      <c r="C59" s="55" t="s">
        <v>321</v>
      </c>
      <c r="D59" s="42"/>
      <c r="E59" s="6" t="s">
        <v>176</v>
      </c>
      <c r="F59" s="6"/>
      <c r="G59" s="6"/>
      <c r="H59" s="6" t="s">
        <v>176</v>
      </c>
      <c r="I59" s="6"/>
      <c r="J59" s="11">
        <v>0</v>
      </c>
      <c r="K59" s="11">
        <v>0</v>
      </c>
      <c r="L59" s="11">
        <v>0</v>
      </c>
      <c r="M59" s="12">
        <f t="shared" si="2"/>
        <v>0</v>
      </c>
      <c r="N59" s="43">
        <v>0</v>
      </c>
      <c r="O59" s="42"/>
      <c r="P59" s="6"/>
      <c r="Q59" s="6" t="s">
        <v>233</v>
      </c>
      <c r="R59" s="6">
        <f>500*2000</f>
        <v>1000000</v>
      </c>
      <c r="S59" s="43">
        <f>R59</f>
        <v>1000000</v>
      </c>
    </row>
    <row r="60" spans="1:19" ht="22.5">
      <c r="A60" s="54" t="s">
        <v>357</v>
      </c>
      <c r="B60" s="6" t="s">
        <v>67</v>
      </c>
      <c r="C60" s="55" t="s">
        <v>325</v>
      </c>
      <c r="D60" s="42"/>
      <c r="E60" s="6" t="s">
        <v>394</v>
      </c>
      <c r="F60" s="6"/>
      <c r="G60" s="6"/>
      <c r="H60" s="6"/>
      <c r="I60" s="6"/>
      <c r="J60" s="6">
        <v>0</v>
      </c>
      <c r="K60" s="6">
        <v>0</v>
      </c>
      <c r="L60" s="6">
        <v>0</v>
      </c>
      <c r="M60" s="12">
        <f t="shared" si="2"/>
        <v>0</v>
      </c>
      <c r="N60" s="43">
        <v>0</v>
      </c>
      <c r="O60" s="42"/>
      <c r="P60" s="6"/>
      <c r="Q60" s="6" t="s">
        <v>234</v>
      </c>
      <c r="R60" s="6">
        <f>100*700</f>
        <v>70000</v>
      </c>
      <c r="S60" s="43">
        <f>R60</f>
        <v>70000</v>
      </c>
    </row>
    <row r="61" spans="1:19" ht="45">
      <c r="A61" s="54" t="s">
        <v>356</v>
      </c>
      <c r="B61" s="6" t="s">
        <v>68</v>
      </c>
      <c r="C61" s="55" t="s">
        <v>321</v>
      </c>
      <c r="D61" s="42"/>
      <c r="E61" s="6" t="s">
        <v>320</v>
      </c>
      <c r="F61" s="6"/>
      <c r="G61" s="6"/>
      <c r="H61" s="6" t="s">
        <v>252</v>
      </c>
      <c r="I61" s="6"/>
      <c r="J61" s="6">
        <f>317400</f>
        <v>317400</v>
      </c>
      <c r="K61" s="6">
        <f>J61*0.1</f>
        <v>31740</v>
      </c>
      <c r="L61" s="6">
        <v>0</v>
      </c>
      <c r="M61" s="12">
        <f t="shared" si="2"/>
        <v>349140</v>
      </c>
      <c r="N61" s="43">
        <f>M61</f>
        <v>349140</v>
      </c>
      <c r="O61" s="42"/>
      <c r="P61" s="6"/>
      <c r="Q61" s="6" t="s">
        <v>253</v>
      </c>
      <c r="R61" s="6">
        <f>164900+1037600</f>
        <v>1202500</v>
      </c>
      <c r="S61" s="43">
        <f>R61</f>
        <v>1202500</v>
      </c>
    </row>
    <row r="62" spans="1:19" ht="78.75">
      <c r="A62" s="54" t="s">
        <v>368</v>
      </c>
      <c r="B62" s="6" t="s">
        <v>69</v>
      </c>
      <c r="C62" s="55" t="s">
        <v>321</v>
      </c>
      <c r="D62" s="42"/>
      <c r="E62" s="6" t="s">
        <v>176</v>
      </c>
      <c r="F62" s="6"/>
      <c r="G62" s="6"/>
      <c r="H62" s="6" t="s">
        <v>176</v>
      </c>
      <c r="I62" s="6"/>
      <c r="J62" s="11">
        <v>0</v>
      </c>
      <c r="K62" s="11">
        <v>0</v>
      </c>
      <c r="L62" s="11">
        <v>0</v>
      </c>
      <c r="M62" s="12">
        <f t="shared" si="2"/>
        <v>0</v>
      </c>
      <c r="N62" s="43">
        <v>0</v>
      </c>
      <c r="O62" s="42"/>
      <c r="P62" s="6"/>
      <c r="Q62" s="6" t="s">
        <v>254</v>
      </c>
      <c r="R62" s="6">
        <f>9000*200+20000*50</f>
        <v>2800000</v>
      </c>
      <c r="S62" s="43">
        <f>R62</f>
        <v>2800000</v>
      </c>
    </row>
    <row r="63" spans="1:19" ht="33.75">
      <c r="A63" s="54" t="s">
        <v>358</v>
      </c>
      <c r="B63" s="6" t="s">
        <v>70</v>
      </c>
      <c r="C63" s="55" t="s">
        <v>321</v>
      </c>
      <c r="D63" s="42"/>
      <c r="E63" s="6" t="s">
        <v>176</v>
      </c>
      <c r="F63" s="6"/>
      <c r="G63" s="6"/>
      <c r="H63" s="6" t="s">
        <v>176</v>
      </c>
      <c r="I63" s="6"/>
      <c r="J63" s="11">
        <v>0</v>
      </c>
      <c r="K63" s="11">
        <v>0</v>
      </c>
      <c r="L63" s="11">
        <v>0</v>
      </c>
      <c r="M63" s="12">
        <f t="shared" si="2"/>
        <v>0</v>
      </c>
      <c r="N63" s="43">
        <v>0</v>
      </c>
      <c r="O63" s="42"/>
      <c r="P63" s="6"/>
      <c r="Q63" s="6" t="s">
        <v>255</v>
      </c>
      <c r="R63" s="6">
        <v>0</v>
      </c>
      <c r="S63" s="43">
        <v>0</v>
      </c>
    </row>
    <row r="64" spans="1:19" ht="22.5">
      <c r="A64" s="54" t="s">
        <v>359</v>
      </c>
      <c r="B64" s="6" t="s">
        <v>71</v>
      </c>
      <c r="C64" s="55" t="s">
        <v>325</v>
      </c>
      <c r="D64" s="42"/>
      <c r="E64" s="6" t="s">
        <v>176</v>
      </c>
      <c r="F64" s="6"/>
      <c r="G64" s="6"/>
      <c r="H64" s="6" t="s">
        <v>176</v>
      </c>
      <c r="I64" s="6"/>
      <c r="J64" s="11">
        <v>0</v>
      </c>
      <c r="K64" s="11">
        <v>0</v>
      </c>
      <c r="L64" s="11">
        <v>0</v>
      </c>
      <c r="M64" s="12">
        <f t="shared" si="2"/>
        <v>0</v>
      </c>
      <c r="N64" s="43">
        <v>0</v>
      </c>
      <c r="O64" s="42"/>
      <c r="P64" s="6"/>
      <c r="Q64" s="6" t="s">
        <v>255</v>
      </c>
      <c r="R64" s="6">
        <v>0</v>
      </c>
      <c r="S64" s="43">
        <v>0</v>
      </c>
    </row>
    <row r="65" spans="1:19" ht="33.75">
      <c r="A65" s="54" t="s">
        <v>360</v>
      </c>
      <c r="B65" s="6" t="s">
        <v>72</v>
      </c>
      <c r="C65" s="55" t="s">
        <v>321</v>
      </c>
      <c r="D65" s="42"/>
      <c r="E65" s="6" t="s">
        <v>176</v>
      </c>
      <c r="F65" s="6"/>
      <c r="G65" s="6"/>
      <c r="H65" s="6" t="s">
        <v>176</v>
      </c>
      <c r="I65" s="6"/>
      <c r="J65" s="11">
        <v>0</v>
      </c>
      <c r="K65" s="11">
        <v>0</v>
      </c>
      <c r="L65" s="11">
        <v>0</v>
      </c>
      <c r="M65" s="12">
        <f t="shared" si="2"/>
        <v>0</v>
      </c>
      <c r="N65" s="43">
        <v>0</v>
      </c>
      <c r="O65" s="42"/>
      <c r="P65" s="6"/>
      <c r="Q65" s="6" t="s">
        <v>255</v>
      </c>
      <c r="R65" s="6">
        <v>0</v>
      </c>
      <c r="S65" s="43">
        <v>0</v>
      </c>
    </row>
    <row r="66" spans="1:19" ht="33.75">
      <c r="A66" s="54" t="s">
        <v>361</v>
      </c>
      <c r="B66" s="6" t="s">
        <v>73</v>
      </c>
      <c r="C66" s="55" t="s">
        <v>321</v>
      </c>
      <c r="D66" s="42"/>
      <c r="E66" s="6" t="s">
        <v>176</v>
      </c>
      <c r="F66" s="6"/>
      <c r="G66" s="6"/>
      <c r="H66" s="6" t="s">
        <v>176</v>
      </c>
      <c r="I66" s="6"/>
      <c r="J66" s="11">
        <v>0</v>
      </c>
      <c r="K66" s="11">
        <v>0</v>
      </c>
      <c r="L66" s="11">
        <v>0</v>
      </c>
      <c r="M66" s="12">
        <f t="shared" si="2"/>
        <v>0</v>
      </c>
      <c r="N66" s="43">
        <v>0</v>
      </c>
      <c r="O66" s="42"/>
      <c r="P66" s="6"/>
      <c r="Q66" s="6" t="s">
        <v>256</v>
      </c>
      <c r="R66" s="6">
        <f>100*300</f>
        <v>30000</v>
      </c>
      <c r="S66" s="43">
        <f>R66</f>
        <v>30000</v>
      </c>
    </row>
    <row r="67" spans="1:19" ht="56.25">
      <c r="A67" s="54" t="s">
        <v>362</v>
      </c>
      <c r="B67" s="6" t="s">
        <v>74</v>
      </c>
      <c r="C67" s="55" t="s">
        <v>165</v>
      </c>
      <c r="D67" s="42"/>
      <c r="E67" s="6" t="s">
        <v>176</v>
      </c>
      <c r="F67" s="6"/>
      <c r="G67" s="6"/>
      <c r="H67" s="6" t="s">
        <v>176</v>
      </c>
      <c r="I67" s="6"/>
      <c r="J67" s="11">
        <v>0</v>
      </c>
      <c r="K67" s="11">
        <v>0</v>
      </c>
      <c r="L67" s="11">
        <v>0</v>
      </c>
      <c r="M67" s="12">
        <f t="shared" si="2"/>
        <v>0</v>
      </c>
      <c r="N67" s="43">
        <v>0</v>
      </c>
      <c r="O67" s="42"/>
      <c r="P67" s="6"/>
      <c r="Q67" s="6" t="s">
        <v>396</v>
      </c>
      <c r="R67" s="6">
        <v>0</v>
      </c>
      <c r="S67" s="43">
        <v>0</v>
      </c>
    </row>
    <row r="68" spans="1:19" ht="11.25">
      <c r="A68" s="54" t="s">
        <v>363</v>
      </c>
      <c r="B68" s="6" t="s">
        <v>75</v>
      </c>
      <c r="C68" s="55" t="s">
        <v>321</v>
      </c>
      <c r="D68" s="42"/>
      <c r="E68" s="6" t="s">
        <v>176</v>
      </c>
      <c r="F68" s="6"/>
      <c r="G68" s="6"/>
      <c r="H68" s="6" t="s">
        <v>176</v>
      </c>
      <c r="I68" s="6"/>
      <c r="J68" s="11">
        <v>0</v>
      </c>
      <c r="K68" s="11">
        <v>0</v>
      </c>
      <c r="L68" s="11">
        <v>0</v>
      </c>
      <c r="M68" s="12">
        <f t="shared" si="2"/>
        <v>0</v>
      </c>
      <c r="N68" s="43">
        <v>0</v>
      </c>
      <c r="O68" s="42"/>
      <c r="P68" s="6"/>
      <c r="Q68" s="6" t="s">
        <v>257</v>
      </c>
      <c r="R68" s="6">
        <v>0</v>
      </c>
      <c r="S68" s="43"/>
    </row>
    <row r="69" spans="1:19" ht="33.75">
      <c r="A69" s="54" t="s">
        <v>364</v>
      </c>
      <c r="B69" s="6" t="s">
        <v>76</v>
      </c>
      <c r="C69" s="55" t="s">
        <v>165</v>
      </c>
      <c r="D69" s="42"/>
      <c r="E69" s="6" t="s">
        <v>176</v>
      </c>
      <c r="F69" s="6"/>
      <c r="G69" s="6"/>
      <c r="H69" s="6" t="s">
        <v>176</v>
      </c>
      <c r="I69" s="6"/>
      <c r="J69" s="11">
        <v>0</v>
      </c>
      <c r="K69" s="11">
        <v>0</v>
      </c>
      <c r="L69" s="11">
        <v>0</v>
      </c>
      <c r="M69" s="12">
        <f t="shared" si="2"/>
        <v>0</v>
      </c>
      <c r="N69" s="43">
        <v>0</v>
      </c>
      <c r="O69" s="42"/>
      <c r="P69" s="6"/>
      <c r="Q69" s="6" t="s">
        <v>258</v>
      </c>
      <c r="R69" s="6">
        <f>1000*300</f>
        <v>300000</v>
      </c>
      <c r="S69" s="43">
        <f>R69</f>
        <v>300000</v>
      </c>
    </row>
    <row r="70" spans="1:19" ht="22.5">
      <c r="A70" s="54" t="s">
        <v>369</v>
      </c>
      <c r="B70" s="6" t="s">
        <v>77</v>
      </c>
      <c r="C70" s="55" t="s">
        <v>321</v>
      </c>
      <c r="D70" s="42"/>
      <c r="E70" s="6" t="s">
        <v>259</v>
      </c>
      <c r="F70" s="6"/>
      <c r="G70" s="6"/>
      <c r="H70" s="6"/>
      <c r="I70" s="6"/>
      <c r="J70" s="6">
        <v>0</v>
      </c>
      <c r="K70" s="6">
        <v>0</v>
      </c>
      <c r="L70" s="6">
        <v>0</v>
      </c>
      <c r="M70" s="12">
        <f t="shared" si="2"/>
        <v>0</v>
      </c>
      <c r="N70" s="43">
        <v>0</v>
      </c>
      <c r="O70" s="42"/>
      <c r="P70" s="6"/>
      <c r="Q70" s="6"/>
      <c r="R70" s="6">
        <v>0</v>
      </c>
      <c r="S70" s="43">
        <v>0</v>
      </c>
    </row>
    <row r="71" spans="1:19" ht="33.75">
      <c r="A71" s="54" t="s">
        <v>365</v>
      </c>
      <c r="B71" s="6" t="s">
        <v>78</v>
      </c>
      <c r="C71" s="55" t="s">
        <v>164</v>
      </c>
      <c r="D71" s="42"/>
      <c r="E71" s="6" t="s">
        <v>260</v>
      </c>
      <c r="F71" s="6"/>
      <c r="G71" s="6">
        <f>147*9.65</f>
        <v>1418.55</v>
      </c>
      <c r="H71" s="6" t="s">
        <v>261</v>
      </c>
      <c r="I71" s="6"/>
      <c r="J71" s="6">
        <f>G71*0.5</f>
        <v>709.275</v>
      </c>
      <c r="K71" s="6">
        <v>0</v>
      </c>
      <c r="L71" s="6">
        <v>0</v>
      </c>
      <c r="M71" s="12">
        <f t="shared" si="2"/>
        <v>709.275</v>
      </c>
      <c r="N71" s="43">
        <v>710</v>
      </c>
      <c r="O71" s="42"/>
      <c r="P71" s="6"/>
      <c r="Q71" s="6" t="s">
        <v>262</v>
      </c>
      <c r="R71" s="6">
        <f>147*25</f>
        <v>3675</v>
      </c>
      <c r="S71" s="43">
        <v>3700</v>
      </c>
    </row>
    <row r="72" spans="1:19" ht="22.5">
      <c r="A72" s="54" t="s">
        <v>366</v>
      </c>
      <c r="B72" s="6" t="s">
        <v>79</v>
      </c>
      <c r="C72" s="55" t="s">
        <v>321</v>
      </c>
      <c r="D72" s="42"/>
      <c r="E72" s="6" t="s">
        <v>176</v>
      </c>
      <c r="F72" s="6"/>
      <c r="G72" s="6"/>
      <c r="H72" s="6" t="s">
        <v>176</v>
      </c>
      <c r="I72" s="6"/>
      <c r="J72" s="11">
        <v>0</v>
      </c>
      <c r="K72" s="11">
        <v>0</v>
      </c>
      <c r="L72" s="11">
        <v>0</v>
      </c>
      <c r="M72" s="12">
        <f t="shared" si="2"/>
        <v>0</v>
      </c>
      <c r="N72" s="43">
        <v>0</v>
      </c>
      <c r="O72" s="42"/>
      <c r="P72" s="6"/>
      <c r="Q72" s="6" t="s">
        <v>263</v>
      </c>
      <c r="R72" s="6">
        <f>2000*50</f>
        <v>100000</v>
      </c>
      <c r="S72" s="43">
        <f>R72</f>
        <v>100000</v>
      </c>
    </row>
    <row r="73" spans="1:19" ht="56.25">
      <c r="A73" s="54" t="s">
        <v>367</v>
      </c>
      <c r="B73" s="6" t="s">
        <v>80</v>
      </c>
      <c r="C73" s="55" t="s">
        <v>321</v>
      </c>
      <c r="D73" s="42"/>
      <c r="E73" s="6"/>
      <c r="F73" s="6"/>
      <c r="G73" s="6"/>
      <c r="H73" s="6" t="s">
        <v>265</v>
      </c>
      <c r="I73" s="6"/>
      <c r="J73" s="6">
        <f>100*9.65</f>
        <v>965</v>
      </c>
      <c r="K73" s="6">
        <v>0</v>
      </c>
      <c r="L73" s="6">
        <v>0</v>
      </c>
      <c r="M73" s="12">
        <f t="shared" si="2"/>
        <v>965</v>
      </c>
      <c r="N73" s="43">
        <f>M73</f>
        <v>965</v>
      </c>
      <c r="O73" s="42"/>
      <c r="P73" s="6"/>
      <c r="Q73" s="6" t="s">
        <v>264</v>
      </c>
      <c r="R73" s="6">
        <f>1000*700*0.7+100*50</f>
        <v>494999.99999999994</v>
      </c>
      <c r="S73" s="43">
        <f>R73</f>
        <v>494999.99999999994</v>
      </c>
    </row>
    <row r="74" spans="1:19" s="8" customFormat="1" ht="22.5">
      <c r="A74" s="48">
        <v>8</v>
      </c>
      <c r="B74" s="3" t="s">
        <v>81</v>
      </c>
      <c r="C74" s="49"/>
      <c r="D74" s="36"/>
      <c r="E74" s="3"/>
      <c r="F74" s="3"/>
      <c r="G74" s="3"/>
      <c r="H74" s="3"/>
      <c r="I74" s="3"/>
      <c r="J74" s="3"/>
      <c r="K74" s="3"/>
      <c r="L74" s="3"/>
      <c r="M74" s="3"/>
      <c r="N74" s="37"/>
      <c r="O74" s="36"/>
      <c r="P74" s="3"/>
      <c r="Q74" s="3"/>
      <c r="R74" s="3"/>
      <c r="S74" s="37"/>
    </row>
    <row r="75" spans="1:19" s="8" customFormat="1" ht="22.5">
      <c r="A75" s="50" t="s">
        <v>112</v>
      </c>
      <c r="B75" s="4" t="s">
        <v>83</v>
      </c>
      <c r="C75" s="51"/>
      <c r="D75" s="38"/>
      <c r="E75" s="4"/>
      <c r="F75" s="4"/>
      <c r="G75" s="4"/>
      <c r="H75" s="4"/>
      <c r="I75" s="4"/>
      <c r="J75" s="4"/>
      <c r="K75" s="4"/>
      <c r="L75" s="4"/>
      <c r="M75" s="4"/>
      <c r="N75" s="39"/>
      <c r="O75" s="38"/>
      <c r="P75" s="4"/>
      <c r="Q75" s="4"/>
      <c r="R75" s="4"/>
      <c r="S75" s="39"/>
    </row>
    <row r="76" spans="1:19" ht="22.5">
      <c r="A76" s="54" t="s">
        <v>135</v>
      </c>
      <c r="B76" s="6" t="s">
        <v>84</v>
      </c>
      <c r="C76" s="55" t="s">
        <v>321</v>
      </c>
      <c r="D76" s="42"/>
      <c r="E76" s="6" t="s">
        <v>176</v>
      </c>
      <c r="F76" s="6"/>
      <c r="G76" s="6"/>
      <c r="H76" s="6" t="s">
        <v>176</v>
      </c>
      <c r="I76" s="6"/>
      <c r="J76" s="11">
        <v>0</v>
      </c>
      <c r="K76" s="11">
        <v>0</v>
      </c>
      <c r="L76" s="11">
        <v>0</v>
      </c>
      <c r="M76" s="12">
        <f>J76+K76+L76</f>
        <v>0</v>
      </c>
      <c r="N76" s="43">
        <v>0</v>
      </c>
      <c r="O76" s="42"/>
      <c r="P76" s="6"/>
      <c r="Q76" s="6" t="s">
        <v>176</v>
      </c>
      <c r="R76" s="6">
        <v>0</v>
      </c>
      <c r="S76" s="43">
        <v>0</v>
      </c>
    </row>
    <row r="77" spans="1:19" ht="45">
      <c r="A77" s="54" t="s">
        <v>136</v>
      </c>
      <c r="B77" s="6" t="s">
        <v>85</v>
      </c>
      <c r="C77" s="55" t="s">
        <v>321</v>
      </c>
      <c r="D77" s="42"/>
      <c r="E77" s="6" t="s">
        <v>266</v>
      </c>
      <c r="F77" s="6"/>
      <c r="G77" s="6">
        <v>7815</v>
      </c>
      <c r="H77" s="6" t="s">
        <v>267</v>
      </c>
      <c r="I77" s="6"/>
      <c r="J77" s="6">
        <f>G77*0.2</f>
        <v>1563</v>
      </c>
      <c r="K77" s="6">
        <f>G77/70*30*0.2</f>
        <v>669.8571428571429</v>
      </c>
      <c r="L77" s="6">
        <v>0</v>
      </c>
      <c r="M77" s="12">
        <f>J77+K77+L77</f>
        <v>2232.857142857143</v>
      </c>
      <c r="N77" s="43">
        <f>2230</f>
        <v>2230</v>
      </c>
      <c r="O77" s="42"/>
      <c r="P77" s="6"/>
      <c r="Q77" s="6" t="s">
        <v>268</v>
      </c>
      <c r="R77" s="6">
        <f>203*0.2*2*5</f>
        <v>406</v>
      </c>
      <c r="S77" s="43">
        <v>400</v>
      </c>
    </row>
    <row r="78" spans="1:19" s="8" customFormat="1" ht="22.5">
      <c r="A78" s="50" t="s">
        <v>370</v>
      </c>
      <c r="B78" s="4" t="s">
        <v>87</v>
      </c>
      <c r="C78" s="51"/>
      <c r="D78" s="38"/>
      <c r="E78" s="4"/>
      <c r="F78" s="4"/>
      <c r="G78" s="4"/>
      <c r="H78" s="4"/>
      <c r="I78" s="4"/>
      <c r="J78" s="4"/>
      <c r="K78" s="4"/>
      <c r="L78" s="4"/>
      <c r="M78" s="4"/>
      <c r="N78" s="39"/>
      <c r="O78" s="38"/>
      <c r="P78" s="4"/>
      <c r="Q78" s="4"/>
      <c r="R78" s="4"/>
      <c r="S78" s="39"/>
    </row>
    <row r="79" spans="1:19" ht="22.5">
      <c r="A79" s="54" t="s">
        <v>371</v>
      </c>
      <c r="B79" s="6" t="s">
        <v>88</v>
      </c>
      <c r="C79" s="55" t="s">
        <v>321</v>
      </c>
      <c r="D79" s="42"/>
      <c r="E79" s="6" t="s">
        <v>269</v>
      </c>
      <c r="F79" s="6"/>
      <c r="G79" s="6"/>
      <c r="H79" s="6"/>
      <c r="I79" s="6"/>
      <c r="J79" s="6">
        <v>0</v>
      </c>
      <c r="K79" s="6">
        <v>0</v>
      </c>
      <c r="L79" s="6">
        <v>0</v>
      </c>
      <c r="M79" s="12">
        <f>J79+K79+L79</f>
        <v>0</v>
      </c>
      <c r="N79" s="43">
        <v>0</v>
      </c>
      <c r="O79" s="42"/>
      <c r="P79" s="6"/>
      <c r="Q79" s="6" t="s">
        <v>270</v>
      </c>
      <c r="R79" s="6">
        <v>0</v>
      </c>
      <c r="S79" s="43">
        <v>0</v>
      </c>
    </row>
    <row r="80" spans="1:19" ht="33.75">
      <c r="A80" s="54" t="s">
        <v>372</v>
      </c>
      <c r="B80" s="6" t="s">
        <v>89</v>
      </c>
      <c r="C80" s="55" t="s">
        <v>321</v>
      </c>
      <c r="D80" s="42"/>
      <c r="E80" s="6" t="s">
        <v>269</v>
      </c>
      <c r="F80" s="6"/>
      <c r="G80" s="6"/>
      <c r="H80" s="6"/>
      <c r="I80" s="6"/>
      <c r="J80" s="6">
        <v>0</v>
      </c>
      <c r="K80" s="6">
        <v>0</v>
      </c>
      <c r="L80" s="6">
        <v>0</v>
      </c>
      <c r="M80" s="12">
        <f>J80+K80+L80</f>
        <v>0</v>
      </c>
      <c r="N80" s="43">
        <v>0</v>
      </c>
      <c r="O80" s="42"/>
      <c r="P80" s="6"/>
      <c r="Q80" s="6" t="s">
        <v>271</v>
      </c>
      <c r="R80" s="6">
        <v>0</v>
      </c>
      <c r="S80" s="43">
        <v>0</v>
      </c>
    </row>
    <row r="81" spans="1:19" ht="33.75">
      <c r="A81" s="54" t="s">
        <v>373</v>
      </c>
      <c r="B81" s="6" t="s">
        <v>90</v>
      </c>
      <c r="C81" s="55" t="s">
        <v>321</v>
      </c>
      <c r="D81" s="42"/>
      <c r="E81" s="6" t="s">
        <v>176</v>
      </c>
      <c r="F81" s="6"/>
      <c r="G81" s="6"/>
      <c r="H81" s="6" t="s">
        <v>176</v>
      </c>
      <c r="I81" s="6"/>
      <c r="J81" s="11">
        <v>0</v>
      </c>
      <c r="K81" s="11">
        <v>0</v>
      </c>
      <c r="L81" s="11">
        <v>0</v>
      </c>
      <c r="M81" s="12">
        <f>J81+K81+L81</f>
        <v>0</v>
      </c>
      <c r="N81" s="43">
        <v>0</v>
      </c>
      <c r="O81" s="42"/>
      <c r="P81" s="6"/>
      <c r="Q81" s="6" t="s">
        <v>272</v>
      </c>
      <c r="R81" s="6">
        <f>10000*8*0.15</f>
        <v>12000</v>
      </c>
      <c r="S81" s="43">
        <f>R81</f>
        <v>12000</v>
      </c>
    </row>
    <row r="82" spans="1:19" s="8" customFormat="1" ht="45">
      <c r="A82" s="50" t="s">
        <v>374</v>
      </c>
      <c r="B82" s="4" t="s">
        <v>91</v>
      </c>
      <c r="C82" s="51"/>
      <c r="D82" s="38"/>
      <c r="E82" s="4"/>
      <c r="F82" s="4"/>
      <c r="G82" s="4"/>
      <c r="H82" s="4"/>
      <c r="I82" s="4"/>
      <c r="J82" s="4"/>
      <c r="K82" s="4"/>
      <c r="L82" s="4"/>
      <c r="M82" s="4"/>
      <c r="N82" s="39"/>
      <c r="O82" s="38"/>
      <c r="P82" s="4"/>
      <c r="Q82" s="4"/>
      <c r="R82" s="4"/>
      <c r="S82" s="39"/>
    </row>
    <row r="83" spans="1:19" ht="22.5">
      <c r="A83" s="54" t="s">
        <v>375</v>
      </c>
      <c r="B83" s="6" t="s">
        <v>92</v>
      </c>
      <c r="C83" s="55" t="s">
        <v>324</v>
      </c>
      <c r="D83" s="42"/>
      <c r="E83" s="6" t="s">
        <v>273</v>
      </c>
      <c r="F83" s="6"/>
      <c r="G83" s="6"/>
      <c r="H83" s="6"/>
      <c r="I83" s="6"/>
      <c r="J83" s="6">
        <v>0</v>
      </c>
      <c r="K83" s="6">
        <v>0</v>
      </c>
      <c r="L83" s="6">
        <v>0</v>
      </c>
      <c r="M83" s="12">
        <f aca="true" t="shared" si="3" ref="M83:M93">J83+K83+L83</f>
        <v>0</v>
      </c>
      <c r="N83" s="43">
        <v>0</v>
      </c>
      <c r="O83" s="42"/>
      <c r="P83" s="6"/>
      <c r="Q83" s="6" t="s">
        <v>274</v>
      </c>
      <c r="R83" s="6">
        <v>0</v>
      </c>
      <c r="S83" s="43">
        <v>0</v>
      </c>
    </row>
    <row r="84" spans="1:19" ht="33.75">
      <c r="A84" s="54" t="s">
        <v>376</v>
      </c>
      <c r="B84" s="6" t="s">
        <v>93</v>
      </c>
      <c r="C84" s="55" t="s">
        <v>326</v>
      </c>
      <c r="D84" s="42"/>
      <c r="E84" s="6" t="s">
        <v>275</v>
      </c>
      <c r="F84" s="6"/>
      <c r="G84" s="6">
        <v>0</v>
      </c>
      <c r="H84" s="6" t="s">
        <v>276</v>
      </c>
      <c r="I84" s="6"/>
      <c r="J84" s="6">
        <v>0</v>
      </c>
      <c r="K84" s="6">
        <v>0</v>
      </c>
      <c r="L84" s="6">
        <v>0</v>
      </c>
      <c r="M84" s="12">
        <v>0</v>
      </c>
      <c r="N84" s="43">
        <v>0</v>
      </c>
      <c r="O84" s="42"/>
      <c r="P84" s="6"/>
      <c r="Q84" s="6"/>
      <c r="R84" s="6">
        <v>0</v>
      </c>
      <c r="S84" s="43">
        <v>0</v>
      </c>
    </row>
    <row r="85" spans="1:19" ht="33.75">
      <c r="A85" s="54" t="s">
        <v>377</v>
      </c>
      <c r="B85" s="6" t="s">
        <v>94</v>
      </c>
      <c r="C85" s="55" t="s">
        <v>325</v>
      </c>
      <c r="D85" s="42"/>
      <c r="E85" s="6" t="s">
        <v>320</v>
      </c>
      <c r="F85" s="6"/>
      <c r="G85" s="6"/>
      <c r="H85" s="6" t="s">
        <v>285</v>
      </c>
      <c r="I85" s="6"/>
      <c r="J85" s="6">
        <f>5*4255</f>
        <v>21275</v>
      </c>
      <c r="K85" s="6">
        <f>J85*0.1</f>
        <v>2127.5</v>
      </c>
      <c r="L85" s="6">
        <v>0</v>
      </c>
      <c r="M85" s="12">
        <f t="shared" si="3"/>
        <v>23402.5</v>
      </c>
      <c r="N85" s="43">
        <v>23400</v>
      </c>
      <c r="O85" s="42"/>
      <c r="P85" s="6"/>
      <c r="Q85" s="6" t="s">
        <v>286</v>
      </c>
      <c r="R85" s="6">
        <f>4255*15</f>
        <v>63825</v>
      </c>
      <c r="S85" s="43">
        <f>R85</f>
        <v>63825</v>
      </c>
    </row>
    <row r="86" spans="1:19" ht="45">
      <c r="A86" s="54" t="s">
        <v>378</v>
      </c>
      <c r="B86" s="6" t="s">
        <v>95</v>
      </c>
      <c r="C86" s="55" t="s">
        <v>325</v>
      </c>
      <c r="D86" s="42"/>
      <c r="E86" s="6" t="s">
        <v>320</v>
      </c>
      <c r="F86" s="6"/>
      <c r="G86" s="6"/>
      <c r="H86" s="6" t="s">
        <v>288</v>
      </c>
      <c r="I86" s="6"/>
      <c r="J86" s="6">
        <f>291500*0.8</f>
        <v>233200</v>
      </c>
      <c r="K86" s="6">
        <f>J86*0.1</f>
        <v>23320</v>
      </c>
      <c r="L86" s="6">
        <v>0</v>
      </c>
      <c r="M86" s="12">
        <f t="shared" si="3"/>
        <v>256520</v>
      </c>
      <c r="N86" s="43">
        <f>M86</f>
        <v>256520</v>
      </c>
      <c r="O86" s="42"/>
      <c r="P86" s="6"/>
      <c r="Q86" s="6" t="s">
        <v>289</v>
      </c>
      <c r="R86" s="6">
        <v>96600</v>
      </c>
      <c r="S86" s="43">
        <f>R86</f>
        <v>96600</v>
      </c>
    </row>
    <row r="87" spans="1:19" ht="33.75">
      <c r="A87" s="54" t="s">
        <v>379</v>
      </c>
      <c r="B87" s="6" t="s">
        <v>96</v>
      </c>
      <c r="C87" s="55" t="s">
        <v>323</v>
      </c>
      <c r="D87" s="42"/>
      <c r="E87" s="6" t="s">
        <v>320</v>
      </c>
      <c r="F87" s="6"/>
      <c r="G87" s="6"/>
      <c r="H87" s="6" t="s">
        <v>291</v>
      </c>
      <c r="I87" s="6"/>
      <c r="J87" s="6">
        <f>19271</f>
        <v>19271</v>
      </c>
      <c r="K87" s="6">
        <f>J87*0.1</f>
        <v>1927.1000000000001</v>
      </c>
      <c r="L87" s="6">
        <v>0</v>
      </c>
      <c r="M87" s="12">
        <f t="shared" si="3"/>
        <v>21198.1</v>
      </c>
      <c r="N87" s="43">
        <v>21200</v>
      </c>
      <c r="O87" s="42"/>
      <c r="P87" s="6"/>
      <c r="Q87" s="6" t="s">
        <v>269</v>
      </c>
      <c r="R87" s="6">
        <v>0</v>
      </c>
      <c r="S87" s="43">
        <v>0</v>
      </c>
    </row>
    <row r="88" spans="1:19" ht="22.5">
      <c r="A88" s="54" t="s">
        <v>380</v>
      </c>
      <c r="B88" s="6" t="s">
        <v>97</v>
      </c>
      <c r="C88" s="55" t="s">
        <v>322</v>
      </c>
      <c r="D88" s="42"/>
      <c r="E88" s="6" t="s">
        <v>176</v>
      </c>
      <c r="F88" s="6"/>
      <c r="G88" s="6"/>
      <c r="H88" s="6" t="s">
        <v>176</v>
      </c>
      <c r="I88" s="6"/>
      <c r="J88" s="11">
        <v>0</v>
      </c>
      <c r="K88" s="11">
        <v>0</v>
      </c>
      <c r="L88" s="11">
        <v>0</v>
      </c>
      <c r="M88" s="12">
        <f t="shared" si="3"/>
        <v>0</v>
      </c>
      <c r="N88" s="43">
        <v>0</v>
      </c>
      <c r="O88" s="42"/>
      <c r="P88" s="6"/>
      <c r="Q88" s="6" t="s">
        <v>269</v>
      </c>
      <c r="R88" s="6">
        <v>0</v>
      </c>
      <c r="S88" s="43">
        <v>0</v>
      </c>
    </row>
    <row r="89" spans="1:19" ht="33.75">
      <c r="A89" s="54" t="s">
        <v>389</v>
      </c>
      <c r="B89" s="6" t="s">
        <v>98</v>
      </c>
      <c r="C89" s="55" t="s">
        <v>321</v>
      </c>
      <c r="D89" s="42"/>
      <c r="E89" s="6" t="s">
        <v>320</v>
      </c>
      <c r="F89" s="6"/>
      <c r="G89" s="6"/>
      <c r="H89" s="6" t="s">
        <v>294</v>
      </c>
      <c r="I89" s="6"/>
      <c r="J89" s="6">
        <f>2246400*0.6</f>
        <v>1347840</v>
      </c>
      <c r="K89" s="6">
        <f>J89*0.1</f>
        <v>134784</v>
      </c>
      <c r="L89" s="6">
        <v>0</v>
      </c>
      <c r="M89" s="12">
        <f t="shared" si="3"/>
        <v>1482624</v>
      </c>
      <c r="N89" s="43">
        <f>M89</f>
        <v>1482624</v>
      </c>
      <c r="O89" s="42"/>
      <c r="P89" s="6"/>
      <c r="Q89" s="6" t="s">
        <v>295</v>
      </c>
      <c r="R89" s="6">
        <f>6882*700*0.5</f>
        <v>2408700</v>
      </c>
      <c r="S89" s="43">
        <f>R89</f>
        <v>2408700</v>
      </c>
    </row>
    <row r="90" spans="1:19" ht="33.75">
      <c r="A90" s="54" t="s">
        <v>381</v>
      </c>
      <c r="B90" s="6" t="s">
        <v>99</v>
      </c>
      <c r="C90" s="55" t="s">
        <v>322</v>
      </c>
      <c r="D90" s="42"/>
      <c r="E90" s="6" t="s">
        <v>410</v>
      </c>
      <c r="F90" s="6"/>
      <c r="G90" s="6"/>
      <c r="H90" s="6" t="s">
        <v>411</v>
      </c>
      <c r="I90" s="6"/>
      <c r="J90" s="11">
        <v>0</v>
      </c>
      <c r="K90" s="11">
        <v>0</v>
      </c>
      <c r="L90" s="11">
        <v>0</v>
      </c>
      <c r="M90" s="12">
        <f t="shared" si="3"/>
        <v>0</v>
      </c>
      <c r="N90" s="43">
        <v>0</v>
      </c>
      <c r="O90" s="42"/>
      <c r="P90" s="6"/>
      <c r="Q90" s="6" t="s">
        <v>269</v>
      </c>
      <c r="R90" s="6">
        <v>0</v>
      </c>
      <c r="S90" s="43">
        <v>0</v>
      </c>
    </row>
    <row r="91" spans="1:19" ht="33.75">
      <c r="A91" s="54" t="s">
        <v>382</v>
      </c>
      <c r="B91" s="6" t="s">
        <v>100</v>
      </c>
      <c r="C91" s="55" t="s">
        <v>323</v>
      </c>
      <c r="D91" s="42"/>
      <c r="E91" s="6" t="s">
        <v>176</v>
      </c>
      <c r="F91" s="6"/>
      <c r="G91" s="6"/>
      <c r="H91" s="6" t="s">
        <v>176</v>
      </c>
      <c r="I91" s="6"/>
      <c r="J91" s="11">
        <v>0</v>
      </c>
      <c r="K91" s="11">
        <v>0</v>
      </c>
      <c r="L91" s="11">
        <v>0</v>
      </c>
      <c r="M91" s="12">
        <f t="shared" si="3"/>
        <v>0</v>
      </c>
      <c r="N91" s="43">
        <v>0</v>
      </c>
      <c r="O91" s="42"/>
      <c r="P91" s="6"/>
      <c r="Q91" s="6" t="s">
        <v>269</v>
      </c>
      <c r="R91" s="6">
        <v>0</v>
      </c>
      <c r="S91" s="43">
        <v>0</v>
      </c>
    </row>
    <row r="92" spans="1:19" ht="45">
      <c r="A92" s="54" t="s">
        <v>383</v>
      </c>
      <c r="B92" s="6" t="s">
        <v>101</v>
      </c>
      <c r="C92" s="55" t="s">
        <v>321</v>
      </c>
      <c r="D92" s="42"/>
      <c r="E92" s="6" t="s">
        <v>395</v>
      </c>
      <c r="F92" s="6"/>
      <c r="G92" s="6"/>
      <c r="H92" s="6" t="s">
        <v>296</v>
      </c>
      <c r="I92" s="6"/>
      <c r="J92" s="6">
        <f>500*70*0.5</f>
        <v>17500</v>
      </c>
      <c r="K92" s="6">
        <f>J92*0.1</f>
        <v>1750</v>
      </c>
      <c r="L92" s="6">
        <v>0</v>
      </c>
      <c r="M92" s="12">
        <f t="shared" si="3"/>
        <v>19250</v>
      </c>
      <c r="N92" s="43">
        <f>M92</f>
        <v>19250</v>
      </c>
      <c r="O92" s="42"/>
      <c r="P92" s="6"/>
      <c r="Q92" s="6" t="s">
        <v>297</v>
      </c>
      <c r="R92" s="6">
        <f>250*200</f>
        <v>50000</v>
      </c>
      <c r="S92" s="43">
        <f>R92</f>
        <v>50000</v>
      </c>
    </row>
    <row r="93" spans="1:19" ht="22.5">
      <c r="A93" s="54" t="s">
        <v>384</v>
      </c>
      <c r="B93" s="6" t="s">
        <v>102</v>
      </c>
      <c r="C93" s="55" t="s">
        <v>322</v>
      </c>
      <c r="D93" s="42"/>
      <c r="E93" s="6" t="s">
        <v>298</v>
      </c>
      <c r="F93" s="6"/>
      <c r="G93" s="6"/>
      <c r="H93" s="6"/>
      <c r="I93" s="6"/>
      <c r="J93" s="6">
        <v>0</v>
      </c>
      <c r="K93" s="6">
        <v>0</v>
      </c>
      <c r="L93" s="6">
        <v>0</v>
      </c>
      <c r="M93" s="12">
        <f t="shared" si="3"/>
        <v>0</v>
      </c>
      <c r="N93" s="43">
        <v>0</v>
      </c>
      <c r="O93" s="42"/>
      <c r="P93" s="6"/>
      <c r="Q93" s="6"/>
      <c r="R93" s="6">
        <v>0</v>
      </c>
      <c r="S93" s="43">
        <v>0</v>
      </c>
    </row>
    <row r="94" spans="1:19" s="8" customFormat="1" ht="33.75">
      <c r="A94" s="50" t="s">
        <v>385</v>
      </c>
      <c r="B94" s="4" t="s">
        <v>103</v>
      </c>
      <c r="C94" s="51"/>
      <c r="D94" s="38"/>
      <c r="E94" s="4"/>
      <c r="F94" s="4"/>
      <c r="G94" s="4"/>
      <c r="H94" s="4"/>
      <c r="I94" s="4"/>
      <c r="J94" s="4"/>
      <c r="K94" s="4"/>
      <c r="L94" s="4"/>
      <c r="M94" s="4"/>
      <c r="N94" s="39"/>
      <c r="O94" s="38"/>
      <c r="P94" s="4"/>
      <c r="Q94" s="4"/>
      <c r="R94" s="4"/>
      <c r="S94" s="39"/>
    </row>
    <row r="95" spans="1:19" ht="22.5">
      <c r="A95" s="54" t="s">
        <v>386</v>
      </c>
      <c r="B95" s="6" t="s">
        <v>104</v>
      </c>
      <c r="C95" s="55" t="s">
        <v>321</v>
      </c>
      <c r="D95" s="42"/>
      <c r="E95" s="6" t="s">
        <v>176</v>
      </c>
      <c r="F95" s="6"/>
      <c r="G95" s="6"/>
      <c r="H95" s="6" t="s">
        <v>176</v>
      </c>
      <c r="I95" s="6"/>
      <c r="J95" s="11">
        <v>0</v>
      </c>
      <c r="K95" s="11">
        <v>0</v>
      </c>
      <c r="L95" s="11">
        <v>0</v>
      </c>
      <c r="M95" s="12">
        <f>J95+K95+L95</f>
        <v>0</v>
      </c>
      <c r="N95" s="43">
        <v>0</v>
      </c>
      <c r="O95" s="42"/>
      <c r="P95" s="6"/>
      <c r="Q95" s="6" t="s">
        <v>423</v>
      </c>
      <c r="R95" s="6">
        <f>5000*4*5</f>
        <v>100000</v>
      </c>
      <c r="S95" s="43">
        <f>R95</f>
        <v>100000</v>
      </c>
    </row>
    <row r="96" spans="1:19" s="8" customFormat="1" ht="33.75">
      <c r="A96" s="50" t="s">
        <v>387</v>
      </c>
      <c r="B96" s="4" t="s">
        <v>105</v>
      </c>
      <c r="C96" s="51"/>
      <c r="D96" s="38"/>
      <c r="E96" s="4"/>
      <c r="F96" s="4"/>
      <c r="G96" s="4"/>
      <c r="H96" s="4"/>
      <c r="I96" s="4"/>
      <c r="J96" s="4"/>
      <c r="K96" s="4"/>
      <c r="L96" s="4"/>
      <c r="M96" s="4"/>
      <c r="N96" s="39"/>
      <c r="O96" s="38"/>
      <c r="P96" s="4"/>
      <c r="Q96" s="4"/>
      <c r="R96" s="4"/>
      <c r="S96" s="39"/>
    </row>
    <row r="97" spans="1:19" ht="33.75">
      <c r="A97" s="54" t="s">
        <v>388</v>
      </c>
      <c r="B97" s="6" t="s">
        <v>106</v>
      </c>
      <c r="C97" s="55" t="s">
        <v>321</v>
      </c>
      <c r="D97" s="42"/>
      <c r="E97" s="6" t="s">
        <v>176</v>
      </c>
      <c r="F97" s="6"/>
      <c r="G97" s="6"/>
      <c r="H97" s="6" t="s">
        <v>176</v>
      </c>
      <c r="I97" s="6"/>
      <c r="J97" s="11">
        <v>0</v>
      </c>
      <c r="K97" s="11">
        <v>0</v>
      </c>
      <c r="L97" s="11">
        <v>0</v>
      </c>
      <c r="M97" s="12">
        <f>J97+K97+L97</f>
        <v>0</v>
      </c>
      <c r="N97" s="43">
        <v>0</v>
      </c>
      <c r="O97" s="42"/>
      <c r="P97" s="6"/>
      <c r="Q97" s="6" t="s">
        <v>299</v>
      </c>
      <c r="R97" s="6">
        <f>500*16*5</f>
        <v>40000</v>
      </c>
      <c r="S97" s="43">
        <f>R97</f>
        <v>40000</v>
      </c>
    </row>
    <row r="98" spans="1:19" s="8" customFormat="1" ht="67.5">
      <c r="A98" s="50" t="s">
        <v>412</v>
      </c>
      <c r="B98" s="4" t="s">
        <v>107</v>
      </c>
      <c r="C98" s="51"/>
      <c r="D98" s="38"/>
      <c r="E98" s="4"/>
      <c r="F98" s="4"/>
      <c r="G98" s="4"/>
      <c r="H98" s="4"/>
      <c r="I98" s="4"/>
      <c r="J98" s="4"/>
      <c r="K98" s="4"/>
      <c r="L98" s="4"/>
      <c r="M98" s="4"/>
      <c r="N98" s="39"/>
      <c r="O98" s="38"/>
      <c r="P98" s="4"/>
      <c r="Q98" s="4"/>
      <c r="R98" s="4"/>
      <c r="S98" s="39"/>
    </row>
    <row r="99" spans="1:19" ht="33.75">
      <c r="A99" s="54" t="s">
        <v>413</v>
      </c>
      <c r="B99" s="6" t="s">
        <v>108</v>
      </c>
      <c r="C99" s="55" t="s">
        <v>321</v>
      </c>
      <c r="D99" s="42"/>
      <c r="E99" s="6" t="s">
        <v>176</v>
      </c>
      <c r="F99" s="6"/>
      <c r="G99" s="6"/>
      <c r="H99" s="6" t="s">
        <v>176</v>
      </c>
      <c r="I99" s="6"/>
      <c r="J99" s="11">
        <v>0</v>
      </c>
      <c r="K99" s="11">
        <v>0</v>
      </c>
      <c r="L99" s="11">
        <v>0</v>
      </c>
      <c r="M99" s="12">
        <f>J99+K99+L99</f>
        <v>0</v>
      </c>
      <c r="N99" s="43">
        <v>0</v>
      </c>
      <c r="O99" s="42"/>
      <c r="P99" s="6"/>
      <c r="Q99" s="6" t="s">
        <v>300</v>
      </c>
      <c r="R99" s="6">
        <f>108762*500*0.1</f>
        <v>5438100</v>
      </c>
      <c r="S99" s="43">
        <f>R99</f>
        <v>5438100</v>
      </c>
    </row>
    <row r="100" spans="1:19" ht="45">
      <c r="A100" s="54" t="s">
        <v>414</v>
      </c>
      <c r="B100" s="6" t="s">
        <v>109</v>
      </c>
      <c r="C100" s="55" t="s">
        <v>321</v>
      </c>
      <c r="D100" s="42"/>
      <c r="E100" s="6" t="s">
        <v>176</v>
      </c>
      <c r="F100" s="6"/>
      <c r="G100" s="6"/>
      <c r="H100" s="6" t="s">
        <v>176</v>
      </c>
      <c r="I100" s="6"/>
      <c r="J100" s="11">
        <v>0</v>
      </c>
      <c r="K100" s="11">
        <v>0</v>
      </c>
      <c r="L100" s="11">
        <v>0</v>
      </c>
      <c r="M100" s="12">
        <f>J100+K100+L100</f>
        <v>0</v>
      </c>
      <c r="N100" s="43">
        <v>0</v>
      </c>
      <c r="O100" s="42"/>
      <c r="P100" s="6"/>
      <c r="Q100" s="6" t="s">
        <v>301</v>
      </c>
      <c r="R100" s="6">
        <f>10762*40*100*0.1</f>
        <v>4304800</v>
      </c>
      <c r="S100" s="43">
        <f>R100</f>
        <v>4304800</v>
      </c>
    </row>
    <row r="101" spans="1:19" ht="22.5">
      <c r="A101" s="54" t="s">
        <v>415</v>
      </c>
      <c r="B101" s="6" t="s">
        <v>110</v>
      </c>
      <c r="C101" s="55" t="s">
        <v>321</v>
      </c>
      <c r="D101" s="42"/>
      <c r="E101" s="6" t="s">
        <v>176</v>
      </c>
      <c r="F101" s="6"/>
      <c r="G101" s="6"/>
      <c r="H101" s="6" t="s">
        <v>176</v>
      </c>
      <c r="I101" s="6"/>
      <c r="J101" s="11">
        <v>0</v>
      </c>
      <c r="K101" s="11">
        <v>0</v>
      </c>
      <c r="L101" s="11">
        <v>0</v>
      </c>
      <c r="M101" s="12">
        <f>J101+K101+L101</f>
        <v>0</v>
      </c>
      <c r="N101" s="43">
        <v>0</v>
      </c>
      <c r="O101" s="42"/>
      <c r="P101" s="6"/>
      <c r="Q101" s="6" t="s">
        <v>302</v>
      </c>
      <c r="R101" s="6">
        <f>10762*240*2</f>
        <v>5165760</v>
      </c>
      <c r="S101" s="43">
        <f>R101</f>
        <v>5165760</v>
      </c>
    </row>
    <row r="102" spans="1:19" ht="45">
      <c r="A102" s="54" t="s">
        <v>416</v>
      </c>
      <c r="B102" s="6" t="s">
        <v>101</v>
      </c>
      <c r="C102" s="55" t="s">
        <v>321</v>
      </c>
      <c r="D102" s="42"/>
      <c r="E102" s="6" t="s">
        <v>318</v>
      </c>
      <c r="F102" s="6"/>
      <c r="G102" s="6"/>
      <c r="H102" s="6"/>
      <c r="I102" s="6"/>
      <c r="J102" s="6">
        <v>0</v>
      </c>
      <c r="K102" s="6">
        <v>0</v>
      </c>
      <c r="L102" s="6">
        <v>0</v>
      </c>
      <c r="M102" s="12">
        <f>J102+K102+L102</f>
        <v>0</v>
      </c>
      <c r="N102" s="43">
        <v>0</v>
      </c>
      <c r="O102" s="42"/>
      <c r="P102" s="6"/>
      <c r="Q102" s="6"/>
      <c r="R102" s="6">
        <v>0</v>
      </c>
      <c r="S102" s="43">
        <v>0</v>
      </c>
    </row>
    <row r="103" spans="1:19" s="8" customFormat="1" ht="33.75">
      <c r="A103" s="48">
        <v>9</v>
      </c>
      <c r="B103" s="3" t="s">
        <v>111</v>
      </c>
      <c r="C103" s="49"/>
      <c r="D103" s="36"/>
      <c r="E103" s="3"/>
      <c r="F103" s="3"/>
      <c r="G103" s="3"/>
      <c r="H103" s="3"/>
      <c r="I103" s="3"/>
      <c r="J103" s="3"/>
      <c r="K103" s="3"/>
      <c r="L103" s="3"/>
      <c r="M103" s="3"/>
      <c r="N103" s="37"/>
      <c r="O103" s="36"/>
      <c r="P103" s="3"/>
      <c r="Q103" s="3"/>
      <c r="R103" s="3"/>
      <c r="S103" s="37"/>
    </row>
    <row r="104" spans="1:19" s="8" customFormat="1" ht="22.5">
      <c r="A104" s="50" t="s">
        <v>390</v>
      </c>
      <c r="B104" s="4" t="s">
        <v>113</v>
      </c>
      <c r="C104" s="51"/>
      <c r="D104" s="38"/>
      <c r="E104" s="4"/>
      <c r="F104" s="4"/>
      <c r="G104" s="4"/>
      <c r="H104" s="4"/>
      <c r="I104" s="4"/>
      <c r="J104" s="4"/>
      <c r="K104" s="4"/>
      <c r="L104" s="4"/>
      <c r="M104" s="4"/>
      <c r="N104" s="39"/>
      <c r="O104" s="38"/>
      <c r="P104" s="4"/>
      <c r="Q104" s="4"/>
      <c r="R104" s="4"/>
      <c r="S104" s="39"/>
    </row>
    <row r="105" spans="1:19" ht="22.5">
      <c r="A105" s="54" t="s">
        <v>391</v>
      </c>
      <c r="B105" s="6" t="s">
        <v>114</v>
      </c>
      <c r="C105" s="55" t="s">
        <v>322</v>
      </c>
      <c r="D105" s="42"/>
      <c r="E105" s="6" t="s">
        <v>319</v>
      </c>
      <c r="F105" s="6"/>
      <c r="G105" s="6"/>
      <c r="H105" s="6"/>
      <c r="I105" s="6"/>
      <c r="J105" s="6">
        <v>0</v>
      </c>
      <c r="K105" s="6">
        <v>0</v>
      </c>
      <c r="L105" s="6">
        <v>0</v>
      </c>
      <c r="M105" s="12">
        <f>J105+K105+L105</f>
        <v>0</v>
      </c>
      <c r="N105" s="43">
        <v>0</v>
      </c>
      <c r="O105" s="42"/>
      <c r="P105" s="6"/>
      <c r="Q105" s="6"/>
      <c r="R105" s="6">
        <v>0</v>
      </c>
      <c r="S105" s="43">
        <v>0</v>
      </c>
    </row>
    <row r="106" spans="1:19" ht="33.75">
      <c r="A106" s="54" t="s">
        <v>392</v>
      </c>
      <c r="B106" s="6" t="s">
        <v>115</v>
      </c>
      <c r="C106" s="55" t="s">
        <v>321</v>
      </c>
      <c r="D106" s="42"/>
      <c r="E106" s="6" t="s">
        <v>176</v>
      </c>
      <c r="F106" s="6"/>
      <c r="G106" s="6"/>
      <c r="H106" s="6" t="s">
        <v>176</v>
      </c>
      <c r="I106" s="6"/>
      <c r="J106" s="11">
        <v>0</v>
      </c>
      <c r="K106" s="11">
        <v>0</v>
      </c>
      <c r="L106" s="11">
        <v>0</v>
      </c>
      <c r="M106" s="12">
        <f>J106+K106+L106</f>
        <v>0</v>
      </c>
      <c r="N106" s="43">
        <v>0</v>
      </c>
      <c r="O106" s="42"/>
      <c r="P106" s="6"/>
      <c r="Q106" s="6" t="s">
        <v>303</v>
      </c>
      <c r="R106" s="6">
        <f>1500*5*10</f>
        <v>75000</v>
      </c>
      <c r="S106" s="43">
        <f>R106</f>
        <v>75000</v>
      </c>
    </row>
    <row r="107" spans="1:19" ht="23.25" thickBot="1">
      <c r="A107" s="56" t="s">
        <v>393</v>
      </c>
      <c r="B107" s="45" t="s">
        <v>116</v>
      </c>
      <c r="C107" s="57" t="s">
        <v>322</v>
      </c>
      <c r="D107" s="44"/>
      <c r="E107" s="45" t="s">
        <v>304</v>
      </c>
      <c r="F107" s="45"/>
      <c r="G107" s="45"/>
      <c r="H107" s="45"/>
      <c r="I107" s="45"/>
      <c r="J107" s="45">
        <v>0</v>
      </c>
      <c r="K107" s="45">
        <v>0</v>
      </c>
      <c r="L107" s="45">
        <v>0</v>
      </c>
      <c r="M107" s="46">
        <f>J107+K107+L107</f>
        <v>0</v>
      </c>
      <c r="N107" s="47">
        <v>0</v>
      </c>
      <c r="O107" s="44"/>
      <c r="P107" s="45"/>
      <c r="Q107" s="45"/>
      <c r="R107" s="45">
        <v>0</v>
      </c>
      <c r="S107" s="47">
        <v>0</v>
      </c>
    </row>
    <row r="108" spans="14:19" ht="12" thickTop="1">
      <c r="N108" s="58">
        <f>SUM(N7:N107)</f>
        <v>10348746.98386195</v>
      </c>
      <c r="S108" s="2">
        <f>SUM(S7:S107)</f>
        <v>27219119</v>
      </c>
    </row>
  </sheetData>
  <sheetProtection/>
  <autoFilter ref="A6:R108"/>
  <mergeCells count="8">
    <mergeCell ref="A4:A6"/>
    <mergeCell ref="C4:C6"/>
    <mergeCell ref="D5:G5"/>
    <mergeCell ref="J5:L5"/>
    <mergeCell ref="R5:S5"/>
    <mergeCell ref="O4:S4"/>
    <mergeCell ref="D4:N4"/>
    <mergeCell ref="B4:B6"/>
  </mergeCells>
  <printOptions/>
  <pageMargins left="0.35433070866141736" right="0.2362204724409449" top="0.31496062992125984" bottom="0.31496062992125984" header="0.31496062992125984" footer="0.31496062992125984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E43" sqref="E43:E47"/>
    </sheetView>
  </sheetViews>
  <sheetFormatPr defaultColWidth="9.140625" defaultRowHeight="12.75"/>
  <cols>
    <col min="1" max="1" width="22.421875" style="14" customWidth="1"/>
    <col min="2" max="2" width="6.28125" style="14" customWidth="1"/>
    <col min="3" max="16384" width="9.140625" style="14" customWidth="1"/>
  </cols>
  <sheetData>
    <row r="1" spans="1:15" ht="45">
      <c r="A1" s="13" t="s">
        <v>277</v>
      </c>
      <c r="B1" s="13"/>
      <c r="C1" s="13" t="s">
        <v>239</v>
      </c>
      <c r="D1" s="13" t="s">
        <v>240</v>
      </c>
      <c r="E1" s="13" t="s">
        <v>241</v>
      </c>
      <c r="F1" s="13" t="s">
        <v>242</v>
      </c>
      <c r="G1" s="13" t="s">
        <v>240</v>
      </c>
      <c r="H1" s="13" t="s">
        <v>243</v>
      </c>
      <c r="J1" s="13" t="s">
        <v>239</v>
      </c>
      <c r="K1" s="13" t="s">
        <v>245</v>
      </c>
      <c r="L1" s="13" t="s">
        <v>246</v>
      </c>
      <c r="M1" s="13" t="s">
        <v>242</v>
      </c>
      <c r="N1" s="13" t="s">
        <v>245</v>
      </c>
      <c r="O1" s="13" t="s">
        <v>246</v>
      </c>
    </row>
    <row r="2" spans="1:15" ht="11.25">
      <c r="A2" s="13" t="s">
        <v>235</v>
      </c>
      <c r="B2" s="13"/>
      <c r="C2" s="13">
        <v>1000</v>
      </c>
      <c r="D2" s="13">
        <v>50</v>
      </c>
      <c r="E2" s="13">
        <v>15</v>
      </c>
      <c r="F2" s="13">
        <v>800</v>
      </c>
      <c r="G2" s="13">
        <v>40</v>
      </c>
      <c r="H2" s="13">
        <v>10</v>
      </c>
      <c r="J2" s="14">
        <f>C2</f>
        <v>1000</v>
      </c>
      <c r="K2" s="14">
        <f>D2*J2</f>
        <v>50000</v>
      </c>
      <c r="L2" s="14">
        <f>J2*E2</f>
        <v>15000</v>
      </c>
      <c r="M2" s="14">
        <f>F2</f>
        <v>800</v>
      </c>
      <c r="N2" s="14">
        <f>M2*G2</f>
        <v>32000</v>
      </c>
      <c r="O2" s="14">
        <f>M2*H2</f>
        <v>8000</v>
      </c>
    </row>
    <row r="3" spans="1:15" ht="11.25">
      <c r="A3" s="13" t="s">
        <v>244</v>
      </c>
      <c r="B3" s="13"/>
      <c r="C3" s="13">
        <v>100</v>
      </c>
      <c r="D3" s="13">
        <v>30</v>
      </c>
      <c r="E3" s="13">
        <v>15</v>
      </c>
      <c r="F3" s="13">
        <v>100</v>
      </c>
      <c r="G3" s="13">
        <v>30</v>
      </c>
      <c r="H3" s="13">
        <v>10</v>
      </c>
      <c r="J3" s="14">
        <f>C3*6</f>
        <v>600</v>
      </c>
      <c r="K3" s="14">
        <f>D3*J3</f>
        <v>18000</v>
      </c>
      <c r="L3" s="14">
        <f>J3*E3</f>
        <v>9000</v>
      </c>
      <c r="M3" s="14">
        <f>F3*6</f>
        <v>600</v>
      </c>
      <c r="N3" s="14">
        <f>M3*G3</f>
        <v>18000</v>
      </c>
      <c r="O3" s="14">
        <f>M3*H3</f>
        <v>6000</v>
      </c>
    </row>
    <row r="4" spans="1:15" ht="11.25">
      <c r="A4" s="13" t="s">
        <v>236</v>
      </c>
      <c r="B4" s="13"/>
      <c r="C4" s="13">
        <v>50</v>
      </c>
      <c r="D4" s="13">
        <v>20</v>
      </c>
      <c r="E4" s="13">
        <v>15</v>
      </c>
      <c r="F4" s="13">
        <v>40</v>
      </c>
      <c r="G4" s="13">
        <v>20</v>
      </c>
      <c r="H4" s="13">
        <v>10</v>
      </c>
      <c r="J4" s="14">
        <f>C4*50</f>
        <v>2500</v>
      </c>
      <c r="K4" s="14">
        <f>D4*J4</f>
        <v>50000</v>
      </c>
      <c r="L4" s="14">
        <f>J4*E4</f>
        <v>37500</v>
      </c>
      <c r="M4" s="14">
        <f>F4*50</f>
        <v>2000</v>
      </c>
      <c r="N4" s="14">
        <f>M4*G4</f>
        <v>40000</v>
      </c>
      <c r="O4" s="14">
        <f>M4*H4</f>
        <v>20000</v>
      </c>
    </row>
    <row r="5" spans="1:15" ht="11.25">
      <c r="A5" s="13" t="s">
        <v>237</v>
      </c>
      <c r="B5" s="13"/>
      <c r="C5" s="13">
        <v>20</v>
      </c>
      <c r="D5" s="13">
        <v>20</v>
      </c>
      <c r="E5" s="13">
        <v>15</v>
      </c>
      <c r="F5" s="13">
        <v>10</v>
      </c>
      <c r="G5" s="13">
        <v>20</v>
      </c>
      <c r="H5" s="13">
        <v>10</v>
      </c>
      <c r="J5" s="14">
        <f>41*C5</f>
        <v>820</v>
      </c>
      <c r="K5" s="14">
        <f>D5*J5</f>
        <v>16400</v>
      </c>
      <c r="L5" s="14">
        <f>J5*E5</f>
        <v>12300</v>
      </c>
      <c r="M5" s="14">
        <f>F5*41</f>
        <v>410</v>
      </c>
      <c r="N5" s="14">
        <f>M5*G5</f>
        <v>8200</v>
      </c>
      <c r="O5" s="14">
        <f>M5*H5</f>
        <v>4100</v>
      </c>
    </row>
    <row r="6" spans="1:15" ht="11.25">
      <c r="A6" s="13" t="s">
        <v>238</v>
      </c>
      <c r="B6" s="13"/>
      <c r="C6" s="13">
        <v>5</v>
      </c>
      <c r="D6" s="13">
        <v>20</v>
      </c>
      <c r="E6" s="13">
        <v>15</v>
      </c>
      <c r="F6" s="13">
        <v>5</v>
      </c>
      <c r="G6" s="13">
        <v>20</v>
      </c>
      <c r="H6" s="13">
        <v>10</v>
      </c>
      <c r="J6" s="14">
        <f>424*C6</f>
        <v>2120</v>
      </c>
      <c r="K6" s="14">
        <f>D6*J6</f>
        <v>42400</v>
      </c>
      <c r="L6" s="14">
        <f>J6*E6</f>
        <v>31800</v>
      </c>
      <c r="M6" s="14">
        <f>F6*424</f>
        <v>2120</v>
      </c>
      <c r="N6" s="14">
        <f>M6*G6</f>
        <v>42400</v>
      </c>
      <c r="O6" s="14">
        <f>M6*H6</f>
        <v>21200</v>
      </c>
    </row>
    <row r="7" spans="9:15" ht="11.25">
      <c r="I7" s="14" t="s">
        <v>247</v>
      </c>
      <c r="J7" s="14">
        <f aca="true" t="shared" si="0" ref="J7:O7">SUM(J2:J6)</f>
        <v>7040</v>
      </c>
      <c r="K7" s="14">
        <f t="shared" si="0"/>
        <v>176800</v>
      </c>
      <c r="L7" s="14">
        <f t="shared" si="0"/>
        <v>105600</v>
      </c>
      <c r="M7" s="14">
        <f t="shared" si="0"/>
        <v>5930</v>
      </c>
      <c r="N7" s="14">
        <f t="shared" si="0"/>
        <v>140600</v>
      </c>
      <c r="O7" s="14">
        <f t="shared" si="0"/>
        <v>59300</v>
      </c>
    </row>
    <row r="9" spans="8:11" ht="11.25">
      <c r="H9" s="14" t="s">
        <v>250</v>
      </c>
      <c r="I9" s="14">
        <f>J7</f>
        <v>7040</v>
      </c>
      <c r="J9" s="14" t="s">
        <v>248</v>
      </c>
      <c r="K9" s="14">
        <f>K7+N7</f>
        <v>317400</v>
      </c>
    </row>
    <row r="10" spans="8:11" ht="11.25">
      <c r="H10" s="14" t="s">
        <v>251</v>
      </c>
      <c r="I10" s="14">
        <f>M7</f>
        <v>5930</v>
      </c>
      <c r="J10" s="14" t="s">
        <v>249</v>
      </c>
      <c r="K10" s="14">
        <f>L7+O7</f>
        <v>164900</v>
      </c>
    </row>
    <row r="12" ht="11.25">
      <c r="A12" s="14" t="s">
        <v>278</v>
      </c>
    </row>
    <row r="13" spans="3:9" ht="11.25">
      <c r="C13" s="14" t="s">
        <v>279</v>
      </c>
      <c r="D13" s="14" t="s">
        <v>280</v>
      </c>
      <c r="E13" s="14" t="s">
        <v>283</v>
      </c>
      <c r="G13" s="14" t="s">
        <v>281</v>
      </c>
      <c r="H13" s="14" t="s">
        <v>282</v>
      </c>
      <c r="I13" s="14" t="s">
        <v>284</v>
      </c>
    </row>
    <row r="14" spans="1:9" ht="11.25">
      <c r="A14" s="13" t="s">
        <v>235</v>
      </c>
      <c r="B14" s="13">
        <v>1</v>
      </c>
      <c r="C14" s="14">
        <v>1000</v>
      </c>
      <c r="D14" s="14">
        <v>5</v>
      </c>
      <c r="E14" s="14">
        <v>15</v>
      </c>
      <c r="G14" s="14">
        <f>B14*C14</f>
        <v>1000</v>
      </c>
      <c r="H14" s="14">
        <f>G14*D14</f>
        <v>5000</v>
      </c>
      <c r="I14" s="14">
        <f>G14*E14</f>
        <v>15000</v>
      </c>
    </row>
    <row r="15" spans="1:9" ht="11.25">
      <c r="A15" s="13" t="s">
        <v>244</v>
      </c>
      <c r="B15" s="13">
        <v>6</v>
      </c>
      <c r="C15" s="14">
        <v>30</v>
      </c>
      <c r="D15" s="14">
        <v>5</v>
      </c>
      <c r="E15" s="14">
        <v>15</v>
      </c>
      <c r="G15" s="14">
        <f>B15*C15</f>
        <v>180</v>
      </c>
      <c r="H15" s="14">
        <f>G15*D15</f>
        <v>900</v>
      </c>
      <c r="I15" s="14">
        <f>G15*E15</f>
        <v>2700</v>
      </c>
    </row>
    <row r="16" spans="1:9" ht="11.25">
      <c r="A16" s="13" t="s">
        <v>236</v>
      </c>
      <c r="B16" s="13">
        <v>50</v>
      </c>
      <c r="C16" s="14">
        <v>15</v>
      </c>
      <c r="D16" s="14">
        <v>5</v>
      </c>
      <c r="E16" s="14">
        <v>15</v>
      </c>
      <c r="G16" s="14">
        <f>B16*C16</f>
        <v>750</v>
      </c>
      <c r="H16" s="14">
        <f>G16*D16</f>
        <v>3750</v>
      </c>
      <c r="I16" s="14">
        <f>G16*E16</f>
        <v>11250</v>
      </c>
    </row>
    <row r="17" spans="1:9" ht="11.25">
      <c r="A17" s="13" t="s">
        <v>237</v>
      </c>
      <c r="B17" s="13">
        <v>41</v>
      </c>
      <c r="C17" s="14">
        <v>5</v>
      </c>
      <c r="D17" s="14">
        <v>5</v>
      </c>
      <c r="E17" s="14">
        <v>15</v>
      </c>
      <c r="G17" s="14">
        <f>B17*C17</f>
        <v>205</v>
      </c>
      <c r="H17" s="14">
        <f>G17*D17</f>
        <v>1025</v>
      </c>
      <c r="I17" s="14">
        <f>G17*E17</f>
        <v>3075</v>
      </c>
    </row>
    <row r="18" spans="1:9" ht="11.25">
      <c r="A18" s="13" t="s">
        <v>238</v>
      </c>
      <c r="B18" s="13">
        <v>424</v>
      </c>
      <c r="C18" s="14">
        <v>5</v>
      </c>
      <c r="D18" s="14">
        <v>5</v>
      </c>
      <c r="E18" s="14">
        <v>15</v>
      </c>
      <c r="G18" s="14">
        <f>B18*C18</f>
        <v>2120</v>
      </c>
      <c r="H18" s="14">
        <f>G18*D18</f>
        <v>10600</v>
      </c>
      <c r="I18" s="14">
        <f>G18*E18</f>
        <v>31800</v>
      </c>
    </row>
    <row r="19" spans="7:9" ht="11.25">
      <c r="G19" s="14">
        <f>SUM(G14:G18)</f>
        <v>4255</v>
      </c>
      <c r="H19" s="14">
        <f>SUM(H14:H18)</f>
        <v>21275</v>
      </c>
      <c r="I19" s="14">
        <f>SUM(I14:I18)</f>
        <v>63825</v>
      </c>
    </row>
    <row r="21" ht="11.25">
      <c r="A21" s="14" t="s">
        <v>287</v>
      </c>
    </row>
    <row r="22" spans="3:9" ht="11.25">
      <c r="C22" s="14" t="s">
        <v>279</v>
      </c>
      <c r="D22" s="14" t="s">
        <v>280</v>
      </c>
      <c r="E22" s="14" t="s">
        <v>283</v>
      </c>
      <c r="G22" s="14" t="s">
        <v>281</v>
      </c>
      <c r="H22" s="14" t="s">
        <v>282</v>
      </c>
      <c r="I22" s="14" t="s">
        <v>284</v>
      </c>
    </row>
    <row r="23" spans="1:9" ht="11.25">
      <c r="A23" s="13" t="s">
        <v>235</v>
      </c>
      <c r="B23" s="13">
        <v>1</v>
      </c>
      <c r="C23" s="14">
        <v>200</v>
      </c>
      <c r="D23" s="14">
        <v>150</v>
      </c>
      <c r="E23" s="14">
        <v>20</v>
      </c>
      <c r="G23" s="14">
        <f>B23*C23</f>
        <v>200</v>
      </c>
      <c r="H23" s="14">
        <f>G23*D23</f>
        <v>30000</v>
      </c>
      <c r="I23" s="14">
        <f>G23*E23</f>
        <v>4000</v>
      </c>
    </row>
    <row r="24" spans="1:9" ht="11.25">
      <c r="A24" s="13" t="s">
        <v>244</v>
      </c>
      <c r="B24" s="13">
        <v>6</v>
      </c>
      <c r="C24" s="14">
        <v>100</v>
      </c>
      <c r="D24" s="14">
        <v>100</v>
      </c>
      <c r="E24" s="14">
        <v>20</v>
      </c>
      <c r="G24" s="14">
        <f>B24*C24</f>
        <v>600</v>
      </c>
      <c r="H24" s="14">
        <f>G24*D24</f>
        <v>60000</v>
      </c>
      <c r="I24" s="14">
        <f>G24*E24</f>
        <v>12000</v>
      </c>
    </row>
    <row r="25" spans="1:9" ht="11.25">
      <c r="A25" s="13" t="s">
        <v>236</v>
      </c>
      <c r="B25" s="13">
        <v>50</v>
      </c>
      <c r="C25" s="14">
        <v>30</v>
      </c>
      <c r="D25" s="14">
        <v>50</v>
      </c>
      <c r="E25" s="14">
        <v>20</v>
      </c>
      <c r="G25" s="14">
        <f>B25*C25</f>
        <v>1500</v>
      </c>
      <c r="H25" s="14">
        <f>G25*D25</f>
        <v>75000</v>
      </c>
      <c r="I25" s="14">
        <f>G25*E25</f>
        <v>30000</v>
      </c>
    </row>
    <row r="26" spans="1:9" ht="11.25">
      <c r="A26" s="13" t="s">
        <v>237</v>
      </c>
      <c r="B26" s="13">
        <v>41</v>
      </c>
      <c r="C26" s="14">
        <v>10</v>
      </c>
      <c r="D26" s="14">
        <v>50</v>
      </c>
      <c r="E26" s="14">
        <v>20</v>
      </c>
      <c r="G26" s="14">
        <f>B26*C26</f>
        <v>410</v>
      </c>
      <c r="H26" s="14">
        <f>G26*D26</f>
        <v>20500</v>
      </c>
      <c r="I26" s="14">
        <f>G26*E26</f>
        <v>8200</v>
      </c>
    </row>
    <row r="27" spans="1:9" ht="11.25">
      <c r="A27" s="13" t="s">
        <v>238</v>
      </c>
      <c r="B27" s="13">
        <v>424</v>
      </c>
      <c r="C27" s="14">
        <v>5</v>
      </c>
      <c r="D27" s="14">
        <v>50</v>
      </c>
      <c r="E27" s="14">
        <v>20</v>
      </c>
      <c r="G27" s="14">
        <f>B27*C27</f>
        <v>2120</v>
      </c>
      <c r="H27" s="14">
        <f>G27*D27</f>
        <v>106000</v>
      </c>
      <c r="I27" s="14">
        <f>G27*E27</f>
        <v>42400</v>
      </c>
    </row>
    <row r="28" spans="7:9" ht="11.25">
      <c r="G28" s="14">
        <f>SUM(G23:G27)</f>
        <v>4830</v>
      </c>
      <c r="H28" s="14">
        <f>SUM(H23:H27)</f>
        <v>291500</v>
      </c>
      <c r="I28" s="14">
        <f>SUM(I23:I27)</f>
        <v>96600</v>
      </c>
    </row>
    <row r="31" ht="11.25">
      <c r="A31" s="14" t="s">
        <v>290</v>
      </c>
    </row>
    <row r="32" spans="3:9" ht="11.25">
      <c r="C32" s="14" t="s">
        <v>279</v>
      </c>
      <c r="D32" s="14" t="s">
        <v>280</v>
      </c>
      <c r="E32" s="14" t="s">
        <v>283</v>
      </c>
      <c r="G32" s="14" t="s">
        <v>281</v>
      </c>
      <c r="H32" s="14" t="s">
        <v>282</v>
      </c>
      <c r="I32" s="14" t="s">
        <v>284</v>
      </c>
    </row>
    <row r="33" spans="1:9" ht="11.25">
      <c r="A33" s="13" t="s">
        <v>235</v>
      </c>
      <c r="B33" s="13">
        <v>1</v>
      </c>
      <c r="C33" s="14">
        <v>9000</v>
      </c>
      <c r="D33" s="14">
        <v>0.7</v>
      </c>
      <c r="G33" s="14">
        <f>B33*C33</f>
        <v>9000</v>
      </c>
      <c r="H33" s="14">
        <f>G33*D33</f>
        <v>6300</v>
      </c>
      <c r="I33" s="14">
        <f>G33*E33</f>
        <v>0</v>
      </c>
    </row>
    <row r="34" spans="1:9" ht="11.25">
      <c r="A34" s="13" t="s">
        <v>244</v>
      </c>
      <c r="B34" s="13">
        <v>6</v>
      </c>
      <c r="C34" s="14">
        <v>500</v>
      </c>
      <c r="D34" s="14">
        <v>0.7</v>
      </c>
      <c r="G34" s="14">
        <f>B34*C34</f>
        <v>3000</v>
      </c>
      <c r="H34" s="14">
        <f>G34*D34</f>
        <v>2100</v>
      </c>
      <c r="I34" s="14">
        <f>G34*E34</f>
        <v>0</v>
      </c>
    </row>
    <row r="35" spans="1:9" ht="11.25">
      <c r="A35" s="13" t="s">
        <v>236</v>
      </c>
      <c r="B35" s="13">
        <v>50</v>
      </c>
      <c r="C35" s="14">
        <v>100</v>
      </c>
      <c r="D35" s="14">
        <v>0.7</v>
      </c>
      <c r="G35" s="14">
        <f>B35*C35</f>
        <v>5000</v>
      </c>
      <c r="H35" s="14">
        <f>G35*D35</f>
        <v>3500</v>
      </c>
      <c r="I35" s="14">
        <f>G35*E35</f>
        <v>0</v>
      </c>
    </row>
    <row r="36" spans="1:9" ht="11.25">
      <c r="A36" s="13" t="s">
        <v>237</v>
      </c>
      <c r="B36" s="13">
        <v>41</v>
      </c>
      <c r="C36" s="14">
        <v>50</v>
      </c>
      <c r="D36" s="14">
        <v>0.7</v>
      </c>
      <c r="G36" s="14">
        <f>B36*C36</f>
        <v>2050</v>
      </c>
      <c r="H36" s="14">
        <f>G36*D36</f>
        <v>1435</v>
      </c>
      <c r="I36" s="14">
        <f>G36*E36</f>
        <v>0</v>
      </c>
    </row>
    <row r="37" spans="1:9" ht="11.25">
      <c r="A37" s="13" t="s">
        <v>238</v>
      </c>
      <c r="B37" s="13">
        <v>424</v>
      </c>
      <c r="C37" s="14">
        <v>20</v>
      </c>
      <c r="D37" s="14">
        <v>0.7</v>
      </c>
      <c r="G37" s="14">
        <f>B37*C37</f>
        <v>8480</v>
      </c>
      <c r="H37" s="14">
        <f>G37*D37</f>
        <v>5936</v>
      </c>
      <c r="I37" s="14">
        <f>G37*E37</f>
        <v>0</v>
      </c>
    </row>
    <row r="38" spans="7:9" ht="11.25">
      <c r="G38" s="14">
        <f>SUM(G33:G37)</f>
        <v>27530</v>
      </c>
      <c r="H38" s="14">
        <f>SUM(H33:H37)</f>
        <v>19271</v>
      </c>
      <c r="I38" s="14">
        <f>SUM(I33:I37)</f>
        <v>0</v>
      </c>
    </row>
    <row r="41" ht="11.25">
      <c r="A41" s="14" t="s">
        <v>292</v>
      </c>
    </row>
    <row r="42" spans="3:9" ht="11.25">
      <c r="C42" s="14" t="s">
        <v>279</v>
      </c>
      <c r="D42" s="14" t="s">
        <v>280</v>
      </c>
      <c r="E42" s="14" t="s">
        <v>293</v>
      </c>
      <c r="G42" s="14" t="s">
        <v>281</v>
      </c>
      <c r="H42" s="14" t="s">
        <v>282</v>
      </c>
      <c r="I42" s="14" t="s">
        <v>284</v>
      </c>
    </row>
    <row r="43" spans="1:9" ht="11.25">
      <c r="A43" s="13" t="s">
        <v>235</v>
      </c>
      <c r="B43" s="13">
        <v>1</v>
      </c>
      <c r="C43" s="14">
        <v>1500</v>
      </c>
      <c r="D43" s="14">
        <v>700</v>
      </c>
      <c r="E43" s="14">
        <v>700</v>
      </c>
      <c r="G43" s="14">
        <f>B43*C43</f>
        <v>1500</v>
      </c>
      <c r="H43" s="14">
        <f>G43*D43</f>
        <v>1050000</v>
      </c>
      <c r="I43" s="14">
        <f>G43*E43</f>
        <v>1050000</v>
      </c>
    </row>
    <row r="44" spans="1:9" ht="11.25">
      <c r="A44" s="13" t="s">
        <v>244</v>
      </c>
      <c r="B44" s="13">
        <v>6</v>
      </c>
      <c r="C44" s="14">
        <v>200</v>
      </c>
      <c r="D44" s="14">
        <v>300</v>
      </c>
      <c r="E44" s="14">
        <v>700</v>
      </c>
      <c r="G44" s="14">
        <f>B44*C44</f>
        <v>1200</v>
      </c>
      <c r="H44" s="14">
        <f>G44*D44</f>
        <v>360000</v>
      </c>
      <c r="I44" s="14">
        <f>G44*E44</f>
        <v>840000</v>
      </c>
    </row>
    <row r="45" spans="1:9" ht="11.25">
      <c r="A45" s="13" t="s">
        <v>236</v>
      </c>
      <c r="B45" s="13">
        <v>50</v>
      </c>
      <c r="C45" s="14">
        <v>50</v>
      </c>
      <c r="D45" s="14">
        <v>200</v>
      </c>
      <c r="E45" s="14">
        <v>700</v>
      </c>
      <c r="G45" s="14">
        <f>B45*C45</f>
        <v>2500</v>
      </c>
      <c r="H45" s="14">
        <f>G45*D45</f>
        <v>500000</v>
      </c>
      <c r="I45" s="14">
        <f>G45*E45</f>
        <v>1750000</v>
      </c>
    </row>
    <row r="46" spans="1:9" ht="11.25">
      <c r="A46" s="13" t="s">
        <v>237</v>
      </c>
      <c r="B46" s="13">
        <v>41</v>
      </c>
      <c r="C46" s="14">
        <v>10</v>
      </c>
      <c r="D46" s="14">
        <v>200</v>
      </c>
      <c r="E46" s="14">
        <v>700</v>
      </c>
      <c r="G46" s="14">
        <f>B46*C46</f>
        <v>410</v>
      </c>
      <c r="H46" s="14">
        <f>G46*D46</f>
        <v>82000</v>
      </c>
      <c r="I46" s="14">
        <f>G46*E46</f>
        <v>287000</v>
      </c>
    </row>
    <row r="47" spans="1:9" ht="11.25">
      <c r="A47" s="13" t="s">
        <v>238</v>
      </c>
      <c r="B47" s="13">
        <v>424</v>
      </c>
      <c r="C47" s="14">
        <v>3</v>
      </c>
      <c r="D47" s="14">
        <v>200</v>
      </c>
      <c r="E47" s="14">
        <v>700</v>
      </c>
      <c r="G47" s="14">
        <f>B47*C47</f>
        <v>1272</v>
      </c>
      <c r="H47" s="14">
        <f>G47*D47</f>
        <v>254400</v>
      </c>
      <c r="I47" s="14">
        <f>G47*E47</f>
        <v>890400</v>
      </c>
    </row>
    <row r="48" spans="7:9" ht="11.25">
      <c r="G48" s="14">
        <f>SUM(G43:G47)</f>
        <v>6882</v>
      </c>
      <c r="H48" s="14">
        <f>SUM(H43:H47)</f>
        <v>2246400</v>
      </c>
      <c r="I48" s="14">
        <f>SUM(I43:I47)</f>
        <v>4817400</v>
      </c>
    </row>
  </sheetData>
  <sheetProtection/>
  <printOptions/>
  <pageMargins left="0.35" right="0.39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46">
      <selection activeCell="C46" sqref="C46:D57"/>
    </sheetView>
  </sheetViews>
  <sheetFormatPr defaultColWidth="9.140625" defaultRowHeight="12.75"/>
  <cols>
    <col min="1" max="1" width="13.8515625" style="0" customWidth="1"/>
    <col min="2" max="2" width="18.7109375" style="0" customWidth="1"/>
    <col min="3" max="3" width="22.140625" style="0" customWidth="1"/>
    <col min="4" max="4" width="21.28125" style="0" customWidth="1"/>
    <col min="5" max="5" width="20.140625" style="0" customWidth="1"/>
    <col min="6" max="6" width="15.8515625" style="0" customWidth="1"/>
    <col min="7" max="8" width="19.28125" style="0" customWidth="1"/>
    <col min="9" max="15" width="5.00390625" style="0" customWidth="1"/>
    <col min="16" max="28" width="6.00390625" style="0" customWidth="1"/>
    <col min="29" max="34" width="7.00390625" style="0" customWidth="1"/>
    <col min="35" max="39" width="8.00390625" style="0" customWidth="1"/>
    <col min="40" max="40" width="11.7109375" style="0" bestFit="1" customWidth="1"/>
  </cols>
  <sheetData>
    <row r="1" ht="12.75">
      <c r="B1" s="16" t="s">
        <v>311</v>
      </c>
    </row>
    <row r="2" spans="1:7" ht="12.75">
      <c r="A2" s="16" t="s">
        <v>309</v>
      </c>
      <c r="B2" t="s">
        <v>315</v>
      </c>
      <c r="C2" t="s">
        <v>316</v>
      </c>
      <c r="E2" s="70"/>
      <c r="F2" s="72" t="s">
        <v>426</v>
      </c>
      <c r="G2" s="71"/>
    </row>
    <row r="3" spans="1:7" ht="12.75">
      <c r="A3" s="17" t="s">
        <v>163</v>
      </c>
      <c r="B3" s="75">
        <v>3</v>
      </c>
      <c r="C3" s="19">
        <v>3</v>
      </c>
      <c r="E3" s="72" t="s">
        <v>138</v>
      </c>
      <c r="F3" s="70" t="s">
        <v>398</v>
      </c>
      <c r="G3" s="78" t="s">
        <v>399</v>
      </c>
    </row>
    <row r="4" spans="1:7" ht="12.75">
      <c r="A4" s="17" t="s">
        <v>165</v>
      </c>
      <c r="B4" s="76">
        <v>3</v>
      </c>
      <c r="C4" s="19">
        <v>3</v>
      </c>
      <c r="E4" s="70" t="s">
        <v>163</v>
      </c>
      <c r="F4" s="79">
        <v>48000</v>
      </c>
      <c r="G4" s="80">
        <v>204000</v>
      </c>
    </row>
    <row r="5" spans="1:7" ht="12.75">
      <c r="A5" s="17" t="s">
        <v>164</v>
      </c>
      <c r="B5" s="76">
        <v>7</v>
      </c>
      <c r="C5" s="19">
        <v>7</v>
      </c>
      <c r="E5" s="73" t="s">
        <v>165</v>
      </c>
      <c r="F5" s="81">
        <v>0</v>
      </c>
      <c r="G5" s="82">
        <v>842760</v>
      </c>
    </row>
    <row r="6" spans="1:7" ht="12.75">
      <c r="A6" s="17" t="s">
        <v>325</v>
      </c>
      <c r="B6" s="76">
        <v>5</v>
      </c>
      <c r="C6" s="19">
        <v>5</v>
      </c>
      <c r="E6" s="73" t="s">
        <v>164</v>
      </c>
      <c r="F6" s="81">
        <v>1458555</v>
      </c>
      <c r="G6" s="82">
        <v>485700</v>
      </c>
    </row>
    <row r="7" spans="1:7" ht="12.75">
      <c r="A7" s="17" t="s">
        <v>321</v>
      </c>
      <c r="B7" s="76">
        <v>30</v>
      </c>
      <c r="C7" s="19">
        <v>30</v>
      </c>
      <c r="E7" s="73" t="s">
        <v>325</v>
      </c>
      <c r="F7" s="81">
        <v>279932</v>
      </c>
      <c r="G7" s="82">
        <v>230425</v>
      </c>
    </row>
    <row r="8" spans="1:7" ht="12.75">
      <c r="A8" s="17" t="s">
        <v>322</v>
      </c>
      <c r="B8" s="76">
        <v>7</v>
      </c>
      <c r="C8" s="19">
        <v>7</v>
      </c>
      <c r="E8" s="73" t="s">
        <v>321</v>
      </c>
      <c r="F8" s="81">
        <v>2011329.4705882352</v>
      </c>
      <c r="G8" s="82">
        <v>23841360</v>
      </c>
    </row>
    <row r="9" spans="1:7" ht="12.75">
      <c r="A9" s="17" t="s">
        <v>323</v>
      </c>
      <c r="B9" s="76">
        <v>16</v>
      </c>
      <c r="C9" s="19">
        <v>16</v>
      </c>
      <c r="E9" s="73" t="s">
        <v>322</v>
      </c>
      <c r="F9" s="81">
        <v>0</v>
      </c>
      <c r="G9" s="82">
        <v>0</v>
      </c>
    </row>
    <row r="10" spans="1:7" ht="12.75">
      <c r="A10" s="17" t="s">
        <v>324</v>
      </c>
      <c r="B10" s="76">
        <v>6</v>
      </c>
      <c r="C10" s="19">
        <v>6</v>
      </c>
      <c r="E10" s="73" t="s">
        <v>323</v>
      </c>
      <c r="F10" s="81">
        <v>6385330.513273714</v>
      </c>
      <c r="G10" s="82">
        <v>1614874</v>
      </c>
    </row>
    <row r="11" spans="1:7" ht="12.75">
      <c r="A11" s="17" t="s">
        <v>326</v>
      </c>
      <c r="B11" s="76">
        <v>3</v>
      </c>
      <c r="C11" s="19">
        <v>3</v>
      </c>
      <c r="E11" s="73" t="s">
        <v>324</v>
      </c>
      <c r="F11" s="81">
        <v>124360</v>
      </c>
      <c r="G11" s="82">
        <v>0</v>
      </c>
    </row>
    <row r="12" spans="1:7" ht="12.75">
      <c r="A12" s="17" t="s">
        <v>310</v>
      </c>
      <c r="B12" s="77">
        <v>80</v>
      </c>
      <c r="C12" s="19">
        <v>80</v>
      </c>
      <c r="E12" s="73" t="s">
        <v>326</v>
      </c>
      <c r="F12" s="81">
        <v>41240</v>
      </c>
      <c r="G12" s="82">
        <v>0</v>
      </c>
    </row>
    <row r="13" spans="5:7" ht="12.75">
      <c r="E13" s="74" t="s">
        <v>310</v>
      </c>
      <c r="F13" s="83">
        <v>10348746.98386195</v>
      </c>
      <c r="G13" s="84">
        <v>27219119</v>
      </c>
    </row>
    <row r="15" ht="12.75">
      <c r="B15" s="16" t="s">
        <v>311</v>
      </c>
    </row>
    <row r="16" spans="1:3" ht="12.75">
      <c r="A16" s="16" t="s">
        <v>309</v>
      </c>
      <c r="B16" t="s">
        <v>398</v>
      </c>
      <c r="C16" t="s">
        <v>399</v>
      </c>
    </row>
    <row r="17" spans="1:3" ht="12.75">
      <c r="A17" s="17" t="s">
        <v>163</v>
      </c>
      <c r="B17" s="79">
        <v>48000</v>
      </c>
      <c r="C17" s="80">
        <v>204000</v>
      </c>
    </row>
    <row r="18" spans="1:3" ht="12.75">
      <c r="A18" s="17" t="s">
        <v>165</v>
      </c>
      <c r="B18" s="81">
        <v>0</v>
      </c>
      <c r="C18" s="82">
        <v>842760</v>
      </c>
    </row>
    <row r="19" spans="1:3" ht="12.75">
      <c r="A19" s="17" t="s">
        <v>164</v>
      </c>
      <c r="B19" s="81">
        <v>1458555</v>
      </c>
      <c r="C19" s="82">
        <v>485700</v>
      </c>
    </row>
    <row r="20" spans="1:3" ht="12.75">
      <c r="A20" s="17" t="s">
        <v>325</v>
      </c>
      <c r="B20" s="81">
        <v>279932</v>
      </c>
      <c r="C20" s="82">
        <v>230425</v>
      </c>
    </row>
    <row r="21" spans="1:3" ht="12.75">
      <c r="A21" s="17" t="s">
        <v>321</v>
      </c>
      <c r="B21" s="81">
        <v>2011329.4705882352</v>
      </c>
      <c r="C21" s="82">
        <v>23841360</v>
      </c>
    </row>
    <row r="22" spans="1:3" ht="12.75">
      <c r="A22" s="17" t="s">
        <v>322</v>
      </c>
      <c r="B22" s="81">
        <v>0</v>
      </c>
      <c r="C22" s="82">
        <v>0</v>
      </c>
    </row>
    <row r="23" spans="1:3" ht="12.75">
      <c r="A23" s="17" t="s">
        <v>323</v>
      </c>
      <c r="B23" s="81">
        <v>6385330.513273714</v>
      </c>
      <c r="C23" s="82">
        <v>1614874</v>
      </c>
    </row>
    <row r="24" spans="1:3" ht="12.75">
      <c r="A24" s="17" t="s">
        <v>324</v>
      </c>
      <c r="B24" s="81">
        <v>124360</v>
      </c>
      <c r="C24" s="82">
        <v>0</v>
      </c>
    </row>
    <row r="25" spans="1:3" ht="12.75">
      <c r="A25" s="17" t="s">
        <v>326</v>
      </c>
      <c r="B25" s="81">
        <v>41240</v>
      </c>
      <c r="C25" s="82">
        <v>0</v>
      </c>
    </row>
    <row r="26" spans="1:3" ht="12.75">
      <c r="A26" s="17" t="s">
        <v>310</v>
      </c>
      <c r="B26" s="83">
        <v>10348746.98386195</v>
      </c>
      <c r="C26" s="84">
        <v>27219119</v>
      </c>
    </row>
    <row r="27" ht="15" customHeight="1"/>
    <row r="28" ht="16.5" customHeight="1"/>
    <row r="29" ht="16.5" customHeight="1" thickBot="1"/>
    <row r="30" spans="1:3" ht="16.5" customHeight="1" thickBot="1">
      <c r="A30" s="20" t="s">
        <v>139</v>
      </c>
      <c r="B30" s="20" t="s">
        <v>400</v>
      </c>
      <c r="C30" s="21" t="s">
        <v>317</v>
      </c>
    </row>
    <row r="31" spans="1:3" ht="16.5" customHeight="1" thickBot="1">
      <c r="A31" s="25" t="s">
        <v>401</v>
      </c>
      <c r="B31" s="30" t="s">
        <v>161</v>
      </c>
      <c r="C31" s="26">
        <f>SUM(C32:C34)</f>
        <v>42</v>
      </c>
    </row>
    <row r="32" spans="1:3" ht="16.5" customHeight="1" thickBot="1">
      <c r="A32" s="22" t="s">
        <v>402</v>
      </c>
      <c r="B32" s="31" t="s">
        <v>325</v>
      </c>
      <c r="C32" s="23">
        <f>B6</f>
        <v>5</v>
      </c>
    </row>
    <row r="33" spans="1:3" ht="16.5" customHeight="1" thickBot="1">
      <c r="A33" s="22" t="s">
        <v>404</v>
      </c>
      <c r="B33" s="31" t="s">
        <v>321</v>
      </c>
      <c r="C33" s="23">
        <f>B7</f>
        <v>30</v>
      </c>
    </row>
    <row r="34" spans="1:3" ht="16.5" customHeight="1" thickBot="1">
      <c r="A34" s="22" t="s">
        <v>403</v>
      </c>
      <c r="B34" s="31" t="s">
        <v>322</v>
      </c>
      <c r="C34" s="23">
        <f>B8</f>
        <v>7</v>
      </c>
    </row>
    <row r="35" spans="1:3" ht="16.5" customHeight="1" thickBot="1">
      <c r="A35" s="25" t="s">
        <v>405</v>
      </c>
      <c r="B35" s="30" t="s">
        <v>162</v>
      </c>
      <c r="C35" s="26">
        <f>SUM(C36:C38)</f>
        <v>25</v>
      </c>
    </row>
    <row r="36" spans="1:3" ht="16.5" customHeight="1" thickBot="1">
      <c r="A36" s="22" t="s">
        <v>406</v>
      </c>
      <c r="B36" s="31" t="s">
        <v>323</v>
      </c>
      <c r="C36" s="23">
        <f>B9</f>
        <v>16</v>
      </c>
    </row>
    <row r="37" spans="1:3" ht="16.5" customHeight="1" thickBot="1">
      <c r="A37" s="22" t="s">
        <v>407</v>
      </c>
      <c r="B37" s="31" t="s">
        <v>324</v>
      </c>
      <c r="C37" s="23">
        <f>B10</f>
        <v>6</v>
      </c>
    </row>
    <row r="38" spans="1:3" ht="16.5" customHeight="1" thickBot="1">
      <c r="A38" s="22" t="s">
        <v>408</v>
      </c>
      <c r="B38" s="31" t="s">
        <v>326</v>
      </c>
      <c r="C38" s="23">
        <f>B11</f>
        <v>3</v>
      </c>
    </row>
    <row r="39" spans="1:3" ht="16.5" customHeight="1" thickBot="1">
      <c r="A39" s="25" t="s">
        <v>143</v>
      </c>
      <c r="B39" s="30" t="s">
        <v>164</v>
      </c>
      <c r="C39" s="26">
        <f>B5</f>
        <v>7</v>
      </c>
    </row>
    <row r="40" spans="1:3" ht="16.5" customHeight="1" thickBot="1">
      <c r="A40" s="25" t="s">
        <v>142</v>
      </c>
      <c r="B40" s="30" t="s">
        <v>163</v>
      </c>
      <c r="C40" s="26">
        <f>B3</f>
        <v>3</v>
      </c>
    </row>
    <row r="41" spans="1:3" ht="16.5" customHeight="1" thickBot="1">
      <c r="A41" s="27" t="s">
        <v>144</v>
      </c>
      <c r="B41" s="32" t="s">
        <v>165</v>
      </c>
      <c r="C41" s="28">
        <f>B4</f>
        <v>3</v>
      </c>
    </row>
    <row r="42" spans="1:3" ht="16.5" customHeight="1" thickBot="1" thickTop="1">
      <c r="A42" s="22" t="s">
        <v>314</v>
      </c>
      <c r="B42" s="31"/>
      <c r="C42" s="23">
        <f>C31+C35+C39+C40+C41</f>
        <v>80</v>
      </c>
    </row>
    <row r="43" ht="16.5" customHeight="1"/>
    <row r="44" ht="16.5" customHeight="1" thickBot="1"/>
    <row r="45" spans="1:4" ht="45.75" thickBot="1">
      <c r="A45" s="20" t="s">
        <v>139</v>
      </c>
      <c r="B45" s="20" t="s">
        <v>400</v>
      </c>
      <c r="C45" s="21" t="s">
        <v>313</v>
      </c>
      <c r="D45" s="21" t="s">
        <v>312</v>
      </c>
    </row>
    <row r="46" spans="1:4" ht="45.75" thickBot="1">
      <c r="A46" s="25" t="s">
        <v>140</v>
      </c>
      <c r="B46" s="30" t="s">
        <v>161</v>
      </c>
      <c r="C46" s="29">
        <f>SUM(C47:C49)</f>
        <v>2291261.470588235</v>
      </c>
      <c r="D46" s="29">
        <f>SUM(D47:D49)</f>
        <v>24071785</v>
      </c>
    </row>
    <row r="47" spans="1:4" ht="13.5" thickBot="1">
      <c r="A47" s="22" t="s">
        <v>402</v>
      </c>
      <c r="B47" s="31" t="s">
        <v>325</v>
      </c>
      <c r="C47" s="24">
        <f aca="true" t="shared" si="0" ref="C47:D49">B20</f>
        <v>279932</v>
      </c>
      <c r="D47" s="24">
        <f t="shared" si="0"/>
        <v>230425</v>
      </c>
    </row>
    <row r="48" spans="1:4" ht="57" thickBot="1">
      <c r="A48" s="22" t="s">
        <v>404</v>
      </c>
      <c r="B48" s="31" t="s">
        <v>321</v>
      </c>
      <c r="C48" s="24">
        <f t="shared" si="0"/>
        <v>2011329.4705882352</v>
      </c>
      <c r="D48" s="24">
        <f t="shared" si="0"/>
        <v>23841360</v>
      </c>
    </row>
    <row r="49" spans="1:4" ht="34.5" thickBot="1">
      <c r="A49" s="22" t="s">
        <v>403</v>
      </c>
      <c r="B49" s="31" t="s">
        <v>322</v>
      </c>
      <c r="C49" s="24">
        <f t="shared" si="0"/>
        <v>0</v>
      </c>
      <c r="D49" s="24">
        <f t="shared" si="0"/>
        <v>0</v>
      </c>
    </row>
    <row r="50" spans="1:4" ht="34.5" thickBot="1">
      <c r="A50" s="25" t="s">
        <v>141</v>
      </c>
      <c r="B50" s="30" t="s">
        <v>162</v>
      </c>
      <c r="C50" s="29">
        <f>SUM(C51:C53)</f>
        <v>6550930.513273714</v>
      </c>
      <c r="D50" s="29">
        <f>SUM(D51:D53)</f>
        <v>1614874</v>
      </c>
    </row>
    <row r="51" spans="1:4" ht="45.75" thickBot="1">
      <c r="A51" s="22" t="s">
        <v>406</v>
      </c>
      <c r="B51" s="31" t="s">
        <v>323</v>
      </c>
      <c r="C51" s="24">
        <f aca="true" t="shared" si="1" ref="C51:D53">B23</f>
        <v>6385330.513273714</v>
      </c>
      <c r="D51" s="24">
        <f t="shared" si="1"/>
        <v>1614874</v>
      </c>
    </row>
    <row r="52" spans="1:4" ht="79.5" thickBot="1">
      <c r="A52" s="22" t="s">
        <v>407</v>
      </c>
      <c r="B52" s="31" t="s">
        <v>324</v>
      </c>
      <c r="C52" s="24">
        <f t="shared" si="1"/>
        <v>124360</v>
      </c>
      <c r="D52" s="24">
        <f t="shared" si="1"/>
        <v>0</v>
      </c>
    </row>
    <row r="53" spans="1:4" ht="79.5" thickBot="1">
      <c r="A53" s="22" t="s">
        <v>408</v>
      </c>
      <c r="B53" s="31" t="s">
        <v>326</v>
      </c>
      <c r="C53" s="24">
        <f t="shared" si="1"/>
        <v>41240</v>
      </c>
      <c r="D53" s="24">
        <f t="shared" si="1"/>
        <v>0</v>
      </c>
    </row>
    <row r="54" spans="1:4" ht="45.75" thickBot="1">
      <c r="A54" s="25" t="s">
        <v>143</v>
      </c>
      <c r="B54" s="30" t="s">
        <v>164</v>
      </c>
      <c r="C54" s="29">
        <f>B19</f>
        <v>1458555</v>
      </c>
      <c r="D54" s="29">
        <f>C19</f>
        <v>485700</v>
      </c>
    </row>
    <row r="55" spans="1:4" ht="45.75" thickBot="1">
      <c r="A55" s="25" t="s">
        <v>142</v>
      </c>
      <c r="B55" s="30" t="s">
        <v>163</v>
      </c>
      <c r="C55" s="29">
        <f>B17</f>
        <v>48000</v>
      </c>
      <c r="D55" s="29">
        <f>C17</f>
        <v>204000</v>
      </c>
    </row>
    <row r="56" spans="1:4" ht="45.75" thickBot="1">
      <c r="A56" s="27" t="s">
        <v>144</v>
      </c>
      <c r="B56" s="32" t="s">
        <v>165</v>
      </c>
      <c r="C56" s="85">
        <f>B18</f>
        <v>0</v>
      </c>
      <c r="D56" s="85">
        <f>C18</f>
        <v>842760</v>
      </c>
    </row>
    <row r="57" spans="1:4" ht="14.25" thickBot="1" thickTop="1">
      <c r="A57" s="22" t="s">
        <v>314</v>
      </c>
      <c r="B57" s="22"/>
      <c r="C57" s="24">
        <f>C46+C50+C54+C55+C56</f>
        <v>10348746.98386195</v>
      </c>
      <c r="D57" s="24">
        <f>D46+D50+D54+D55+D56</f>
        <v>27219119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A1" sqref="A1:Q81"/>
    </sheetView>
  </sheetViews>
  <sheetFormatPr defaultColWidth="9.140625" defaultRowHeight="12.75"/>
  <cols>
    <col min="1" max="1" width="7.8515625" style="0" customWidth="1"/>
    <col min="2" max="2" width="42.421875" style="0" customWidth="1"/>
    <col min="3" max="3" width="8.28125" style="0" customWidth="1"/>
    <col min="4" max="12" width="9.140625" style="0" hidden="1" customWidth="1"/>
    <col min="13" max="13" width="14.8515625" style="0" customWidth="1"/>
    <col min="14" max="16" width="9.140625" style="0" hidden="1" customWidth="1"/>
    <col min="17" max="17" width="14.7109375" style="0" bestFit="1" customWidth="1"/>
  </cols>
  <sheetData>
    <row r="1" spans="1:17" ht="12.75">
      <c r="A1" t="s">
        <v>305</v>
      </c>
      <c r="B1" t="s">
        <v>306</v>
      </c>
      <c r="C1" t="s">
        <v>138</v>
      </c>
      <c r="D1" t="str">
        <f>'Kopējā tabula'!D4</f>
        <v>Institūcijas izmaksas</v>
      </c>
      <c r="E1">
        <f>'Kopējā tabula'!E4</f>
        <v>0</v>
      </c>
      <c r="F1">
        <f>'Kopējā tabula'!F4</f>
        <v>0</v>
      </c>
      <c r="G1">
        <f>'Kopējā tabula'!G4</f>
        <v>0</v>
      </c>
      <c r="H1">
        <f>'Kopējā tabula'!H4</f>
        <v>0</v>
      </c>
      <c r="I1">
        <f>'Kopējā tabula'!I4</f>
        <v>0</v>
      </c>
      <c r="J1">
        <f>'Kopējā tabula'!J4</f>
        <v>0</v>
      </c>
      <c r="K1">
        <f>'Kopējā tabula'!K4</f>
        <v>0</v>
      </c>
      <c r="L1">
        <f>'Kopējā tabula'!L4</f>
        <v>0</v>
      </c>
      <c r="M1" t="s">
        <v>307</v>
      </c>
      <c r="N1" t="str">
        <f>'Kopējā tabula'!O4</f>
        <v>Komersanta izmaksas</v>
      </c>
      <c r="O1">
        <f>'Kopējā tabula'!P4</f>
        <v>0</v>
      </c>
      <c r="P1">
        <f>'Kopējā tabula'!Q4</f>
        <v>0</v>
      </c>
      <c r="Q1" t="s">
        <v>308</v>
      </c>
    </row>
    <row r="2" spans="1:17" ht="12.75">
      <c r="A2" t="str">
        <f>'Kopējā tabula'!A13</f>
        <v>6.2.1.</v>
      </c>
      <c r="B2" t="str">
        <f>'Kopējā tabula'!B13</f>
        <v>Vidi ietekmējošo darbību kontrolējošās institūcijas</v>
      </c>
      <c r="C2" t="str">
        <f>'Kopējā tabula'!C13</f>
        <v>V1</v>
      </c>
      <c r="D2">
        <f>'Kopējā tabula'!D13</f>
        <v>0</v>
      </c>
      <c r="E2" t="str">
        <f>'Kopējā tabula'!E13</f>
        <v>Ietekmes uz vidi novērtējuma jomā funkcijas atalgojuma izmaksas - 74598 Ls, Rūpniecisko avāriju riska jomā funkcijas atalgojuma izmaksas - 27998 Ls</v>
      </c>
      <c r="F2">
        <f>'Kopējā tabula'!F13</f>
        <v>0</v>
      </c>
      <c r="G2">
        <f>'Kopējā tabula'!G13</f>
        <v>127311.3764</v>
      </c>
      <c r="H2" t="str">
        <f>'Kopējā tabula'!H13</f>
        <v>Papildus rēķināmas 30% administratīvās izmaksas. Kopējais ietaupījums funkciju nodošanai VVD 20% no kopējām izmaksām.</v>
      </c>
      <c r="I2">
        <f>'Kopējā tabula'!I13</f>
        <v>0</v>
      </c>
      <c r="J2">
        <f>'Kopējā tabula'!J13</f>
        <v>25462.27528</v>
      </c>
      <c r="K2">
        <f>'Kopējā tabula'!K13</f>
        <v>10912.403691428572</v>
      </c>
      <c r="L2">
        <f>'Kopējā tabula'!L13</f>
        <v>0</v>
      </c>
      <c r="M2" s="15">
        <f>'Kopējā tabula'!N13</f>
        <v>36374.67897142857</v>
      </c>
      <c r="N2" s="15">
        <f>'Kopējā tabula'!O13</f>
        <v>0</v>
      </c>
      <c r="O2" s="15">
        <f>'Kopējā tabula'!P13</f>
        <v>0</v>
      </c>
      <c r="P2" s="15" t="str">
        <f>'Kopējā tabula'!Q13</f>
        <v>N/a</v>
      </c>
      <c r="Q2" s="15">
        <f>'Kopējā tabula'!S13</f>
        <v>0</v>
      </c>
    </row>
    <row r="3" spans="1:17" ht="12.75">
      <c r="A3" t="str">
        <f>'Kopējā tabula'!A14</f>
        <v>6.2.2.</v>
      </c>
      <c r="B3" t="str">
        <f>'Kopējā tabula'!B14</f>
        <v>Atbrīvojumu no dabas resursu nodokļa administrējošās institūcijas</v>
      </c>
      <c r="C3" t="str">
        <f>'Kopējā tabula'!C14</f>
        <v>V1</v>
      </c>
      <c r="D3">
        <f>'Kopējā tabula'!D14</f>
        <v>0</v>
      </c>
      <c r="E3" t="str">
        <f>'Kopējā tabula'!E14</f>
        <v>No DRN atbrīvoto nodokļu maksātāju administrēšanai nodrošinātas 2 štata vietas - kopējais atalgojums 15923.62 Ls</v>
      </c>
      <c r="F3">
        <f>'Kopējā tabula'!F14</f>
        <v>0</v>
      </c>
      <c r="G3">
        <f>'Kopējā tabula'!G14</f>
        <v>19759.620058</v>
      </c>
      <c r="H3" t="str">
        <f>'Kopējā tabula'!H14</f>
        <v>Papildus rēķināmas 30% administratīvās izmaksas. Kopējais ietaupījums funkciju nodošanai VVD 20% no kopējām izmaksām.</v>
      </c>
      <c r="I3">
        <f>'Kopējā tabula'!I14</f>
        <v>0</v>
      </c>
      <c r="J3">
        <f>'Kopējā tabula'!J14</f>
        <v>3951.9240116</v>
      </c>
      <c r="K3">
        <f>'Kopējā tabula'!K14</f>
        <v>1693.6817192571427</v>
      </c>
      <c r="L3">
        <f>'Kopējā tabula'!L14</f>
        <v>0</v>
      </c>
      <c r="M3" s="15">
        <f>'Kopējā tabula'!N14</f>
        <v>5645.605730857143</v>
      </c>
      <c r="N3" s="15">
        <f>'Kopējā tabula'!O14</f>
        <v>0</v>
      </c>
      <c r="O3" s="15">
        <f>'Kopējā tabula'!P14</f>
        <v>0</v>
      </c>
      <c r="P3" s="15" t="str">
        <f>'Kopējā tabula'!Q14</f>
        <v>N/a</v>
      </c>
      <c r="Q3" s="15">
        <f>'Kopējā tabula'!S14</f>
        <v>0</v>
      </c>
    </row>
    <row r="4" spans="1:17" ht="12.75">
      <c r="A4" t="str">
        <f>'Kopējā tabula'!A15</f>
        <v>6.2.3.</v>
      </c>
      <c r="B4" t="str">
        <f>'Kopējā tabula'!B15</f>
        <v>Īpašuma datu un īpašumtiesību reģistrēšana</v>
      </c>
      <c r="C4" t="str">
        <f>'Kopējā tabula'!C15</f>
        <v>V1</v>
      </c>
      <c r="D4">
        <f>'Kopējā tabula'!D15</f>
        <v>0</v>
      </c>
      <c r="E4" t="str">
        <f>'Kopējā tabula'!E15</f>
        <v>Tiesu administrācijas izdevumi projektā netika analizēti. Funkciju nodošanas rezultātā var likvidēt 4 štata vietas.</v>
      </c>
      <c r="F4">
        <f>'Kopējā tabula'!F15</f>
        <v>0</v>
      </c>
      <c r="G4">
        <f>'Kopējā tabula'!G15</f>
        <v>0</v>
      </c>
      <c r="H4" t="str">
        <f>'Kopējā tabula'!H15</f>
        <v>Funkcijas nodošanas rezultātā kopsummā likvidētas 4 štata vietas (4x420x12x1.2409=25 016 Ls). Papildus rēķināmi 30% administratīvie izdevumi. 20% plānotais ietaupījums no kopējām atalgojuma un administratīvajām izmaksām. Atsevišķas Zemesgrāmatu IS ikgadējās uzturēšanas izmaksas 100 000 Ls, jaunveidojamās Zemesgrāmatu IS izveides izmaksu ietaupījums 1 000 000 Ls, ja datu kopas pievieno Kadastra IS datu kopām, neveidojot jaunu sistēmu</v>
      </c>
      <c r="I4">
        <f>'Kopējā tabula'!I15</f>
        <v>0</v>
      </c>
      <c r="J4">
        <f>'Kopējā tabula'!J15</f>
        <v>25016</v>
      </c>
      <c r="K4">
        <f>'Kopējā tabula'!K15</f>
        <v>2144.2285714285713</v>
      </c>
      <c r="L4">
        <f>'Kopējā tabula'!L15</f>
        <v>100000</v>
      </c>
      <c r="M4" s="15">
        <f>'Kopējā tabula'!N15</f>
        <v>127160.22857142857</v>
      </c>
      <c r="N4" s="15" t="str">
        <f>'Kopējā tabula'!O15</f>
        <v>Īpašumtiesību reģistrācija netika iekļauta pētījuma apjomā</v>
      </c>
      <c r="O4" s="15">
        <f>'Kopējā tabula'!P15</f>
        <v>0</v>
      </c>
      <c r="P4" s="15" t="str">
        <f>'Kopējā tabula'!Q15</f>
        <v>N/a</v>
      </c>
      <c r="Q4" s="15">
        <f>'Kopējā tabula'!S15</f>
        <v>0</v>
      </c>
    </row>
    <row r="5" spans="1:17" ht="12.75">
      <c r="A5" t="str">
        <f>'Kopējā tabula'!A16</f>
        <v>6.2.4.</v>
      </c>
      <c r="B5" t="str">
        <f>'Kopējā tabula'!B16</f>
        <v>Patentu valdes finansēšana</v>
      </c>
      <c r="C5" t="str">
        <f>'Kopējā tabula'!C16</f>
        <v>V1</v>
      </c>
      <c r="D5">
        <f>'Kopējā tabula'!D16</f>
        <v>0</v>
      </c>
      <c r="E5" t="str">
        <f>'Kopējā tabula'!E16</f>
        <v>Kopējie Patentu valdes izdevumi 2008.gadā - 1 156 400 Ls. Nav informācijas par 2009.gada izdevumiem.</v>
      </c>
      <c r="F5">
        <f>'Kopējā tabula'!F16</f>
        <v>0</v>
      </c>
      <c r="G5">
        <f>'Kopējā tabula'!G16</f>
        <v>0</v>
      </c>
      <c r="H5" t="str">
        <f>'Kopējā tabula'!H16</f>
        <v>Pārejot uz sistēmu, kad valsts nodeva par rūpnieciskā īpašuma aizsardzību tiek pārskaitīta Patentu valdei, mainās ieņēmumu saņēmējs. Ieņēmumi tiek novirzīti papildu izmaksu segšanai Patentu valdes darbības atbalstam.</v>
      </c>
      <c r="I5">
        <f>'Kopējā tabula'!I16</f>
        <v>0</v>
      </c>
      <c r="J5">
        <f>'Kopējā tabula'!J16</f>
        <v>0</v>
      </c>
      <c r="K5">
        <f>'Kopējā tabula'!K16</f>
        <v>0</v>
      </c>
      <c r="L5">
        <f>'Kopējā tabula'!L16</f>
        <v>0</v>
      </c>
      <c r="M5" s="15">
        <f>'Kopējā tabula'!N16</f>
        <v>0</v>
      </c>
      <c r="N5" s="15">
        <f>'Kopējā tabula'!O16</f>
        <v>0</v>
      </c>
      <c r="O5" s="15">
        <f>'Kopējā tabula'!P16</f>
        <v>0</v>
      </c>
      <c r="P5" s="15" t="str">
        <f>'Kopējā tabula'!Q16</f>
        <v>N/a</v>
      </c>
      <c r="Q5" s="15">
        <f>'Kopējā tabula'!S16</f>
        <v>0</v>
      </c>
    </row>
    <row r="6" spans="1:17" ht="12.75">
      <c r="A6" t="str">
        <f>'Kopējā tabula'!A17</f>
        <v>6.2.5.</v>
      </c>
      <c r="B6" t="str">
        <f>'Kopējā tabula'!B17</f>
        <v>Kultūras pieminekļu aizsardzības funkciju izpilde</v>
      </c>
      <c r="C6" t="str">
        <f>'Kopējā tabula'!C17</f>
        <v>V3</v>
      </c>
      <c r="D6">
        <f>'Kopējā tabula'!D17</f>
        <v>0</v>
      </c>
      <c r="E6" t="str">
        <f>'Kopējā tabula'!E17</f>
        <v>Nav precīzu datu par nododamajām funkcijām</v>
      </c>
      <c r="F6">
        <f>'Kopējā tabula'!F17</f>
        <v>0</v>
      </c>
      <c r="G6">
        <f>'Kopējā tabula'!G17</f>
        <v>0</v>
      </c>
      <c r="H6" t="str">
        <f>'Kopējā tabula'!H17</f>
        <v>Nododamās vai samazināmās funkcijas: 7 štata vietas (400 Ls mēnesī , VSAOI 24.09%) 41 000 Ls gadā.</v>
      </c>
      <c r="I6">
        <f>'Kopējā tabula'!I17</f>
        <v>0</v>
      </c>
      <c r="J6">
        <f>'Kopējā tabula'!J17</f>
        <v>41000</v>
      </c>
      <c r="K6">
        <f>'Kopējā tabula'!K17</f>
        <v>0</v>
      </c>
      <c r="L6">
        <f>'Kopējā tabula'!L17</f>
        <v>0</v>
      </c>
      <c r="M6" s="15">
        <f>'Kopējā tabula'!N17</f>
        <v>41000</v>
      </c>
      <c r="N6" s="15">
        <f>'Kopējā tabula'!O17</f>
        <v>0</v>
      </c>
      <c r="O6" s="15">
        <f>'Kopējā tabula'!P17</f>
        <v>0</v>
      </c>
      <c r="P6" s="15" t="str">
        <f>'Kopējā tabula'!Q17</f>
        <v>N/a</v>
      </c>
      <c r="Q6" s="15">
        <f>'Kopējā tabula'!S17</f>
        <v>0</v>
      </c>
    </row>
    <row r="7" spans="1:17" ht="12.75">
      <c r="A7" t="str">
        <f>'Kopējā tabula'!A18</f>
        <v>6.2.6.</v>
      </c>
      <c r="B7" t="str">
        <f>'Kopējā tabula'!B18</f>
        <v>Atzinums būvdarbu veikšanai aizsargjoslu teritorijās</v>
      </c>
      <c r="C7" t="str">
        <f>'Kopējā tabula'!C18</f>
        <v>V3</v>
      </c>
      <c r="D7">
        <f>'Kopējā tabula'!D18</f>
        <v>0</v>
      </c>
      <c r="E7" t="str">
        <f>'Kopējā tabula'!E18</f>
        <v>2009.gadā 13 atzinumi, izmaksas 219.70 Ls.</v>
      </c>
      <c r="F7">
        <f>'Kopējā tabula'!F18</f>
        <v>0</v>
      </c>
      <c r="G7">
        <f>'Kopējā tabula'!G18</f>
        <v>219.7</v>
      </c>
      <c r="H7" t="str">
        <f>'Kopējā tabula'!H18</f>
        <v>Plānoti vidēji 13 atzinumi gadā, kopā atalgojums 13x16.9=219.70 Ls. Papildu rēķināmi administratīvie izdevumi 30%. 20% plānotais ietaupījums.</v>
      </c>
      <c r="I7">
        <f>'Kopējā tabula'!I18</f>
        <v>0</v>
      </c>
      <c r="J7">
        <f>'Kopējā tabula'!J18</f>
        <v>219.7</v>
      </c>
      <c r="K7">
        <f>'Kopējā tabula'!K18</f>
        <v>18.83142857142857</v>
      </c>
      <c r="L7">
        <f>'Kopējā tabula'!L18</f>
        <v>0</v>
      </c>
      <c r="M7" s="15">
        <f>'Kopējā tabula'!N18</f>
        <v>240</v>
      </c>
      <c r="N7" s="15">
        <f>'Kopējā tabula'!O18</f>
        <v>0</v>
      </c>
      <c r="O7" s="15">
        <f>'Kopējā tabula'!P18</f>
        <v>0</v>
      </c>
      <c r="P7" s="15" t="str">
        <f>'Kopējā tabula'!Q18</f>
        <v>N/a</v>
      </c>
      <c r="Q7" s="15">
        <f>'Kopējā tabula'!S18</f>
        <v>0</v>
      </c>
    </row>
    <row r="8" spans="1:17" ht="12.75">
      <c r="A8" t="str">
        <f>'Kopējā tabula'!A19</f>
        <v>6.2.7.</v>
      </c>
      <c r="B8" t="str">
        <f>'Kopējā tabula'!B19</f>
        <v>Komerciālo paziņojumu uzraudzība</v>
      </c>
      <c r="C8" t="str">
        <f>'Kopējā tabula'!C19</f>
        <v>V2</v>
      </c>
      <c r="D8">
        <f>'Kopējā tabula'!D19</f>
        <v>0</v>
      </c>
      <c r="E8" t="str">
        <f>'Kopējā tabula'!E19</f>
        <v>Funkcijas izpildei DVI tērētas 1.45 štata vietas, kas sastāda 765.60 Ls gadā.</v>
      </c>
      <c r="F8">
        <f>'Kopējā tabula'!F19</f>
        <v>0</v>
      </c>
      <c r="G8">
        <f>'Kopējā tabula'!G19</f>
        <v>0</v>
      </c>
      <c r="H8" t="str">
        <f>'Kopējā tabula'!H19</f>
        <v>Funkcijas nodošanas rezultātā papildu rēķināmi 30% administratīvie izdevumi. 20% plānotais ietaupījums.</v>
      </c>
      <c r="I8">
        <f>'Kopējā tabula'!I19</f>
        <v>0</v>
      </c>
      <c r="J8">
        <f>'Kopējā tabula'!J19</f>
        <v>765.6</v>
      </c>
      <c r="K8">
        <f>'Kopējā tabula'!K19</f>
        <v>328.11428571428576</v>
      </c>
      <c r="L8">
        <f>'Kopējā tabula'!L19</f>
        <v>0</v>
      </c>
      <c r="M8" s="15">
        <f>'Kopējā tabula'!N19</f>
        <v>220</v>
      </c>
      <c r="N8" s="15">
        <f>'Kopējā tabula'!O19</f>
        <v>0</v>
      </c>
      <c r="O8" s="15">
        <f>'Kopējā tabula'!P19</f>
        <v>0</v>
      </c>
      <c r="P8" s="15" t="str">
        <f>'Kopējā tabula'!Q19</f>
        <v>N/a</v>
      </c>
      <c r="Q8" s="15">
        <f>'Kopējā tabula'!S19</f>
        <v>0</v>
      </c>
    </row>
    <row r="9" spans="1:17" ht="12.75" customHeight="1">
      <c r="A9" t="str">
        <f>'Kopējā tabula'!A20</f>
        <v>6.2.8.</v>
      </c>
      <c r="B9" t="str">
        <f>'Kopējā tabula'!B20</f>
        <v>Pārvadājumu specifisko prasību kontroles organizēšana</v>
      </c>
      <c r="C9" t="str">
        <f>'Kopējā tabula'!C20</f>
        <v>V2</v>
      </c>
      <c r="D9">
        <f>'Kopējā tabula'!D20</f>
        <v>0</v>
      </c>
      <c r="E9" t="str">
        <f>'Kopējā tabula'!E20</f>
        <v>Pārbaužu izmaksas (atalgojums, komandējuma izdevumi, telpu noma, a/m izmaksas, formas tērpi, nemateriālie ieguldījumi) 293674 Ls, pārskatu pārbaudei - 50 Ls.</v>
      </c>
      <c r="F9">
        <f>'Kopējā tabula'!F20</f>
        <v>0</v>
      </c>
      <c r="G9">
        <f>'Kopējā tabula'!G20</f>
        <v>293724</v>
      </c>
      <c r="H9" t="str">
        <f>'Kopējā tabula'!H20</f>
        <v>Funkcijas nodošanas rezultātā papildu rēķināmi 30% administratīvie izdevumi. 20% plānotais ietaupījums.</v>
      </c>
      <c r="I9">
        <f>'Kopējā tabula'!I20</f>
        <v>0</v>
      </c>
      <c r="J9">
        <f>'Kopējā tabula'!J20</f>
        <v>58744.8</v>
      </c>
      <c r="K9">
        <f>'Kopējā tabula'!K20</f>
        <v>25176.34285714286</v>
      </c>
      <c r="L9">
        <f>'Kopējā tabula'!L20</f>
        <v>0</v>
      </c>
      <c r="M9" s="15">
        <f>'Kopējā tabula'!N20</f>
        <v>84000</v>
      </c>
      <c r="N9" s="15">
        <f>'Kopējā tabula'!O20</f>
        <v>0</v>
      </c>
      <c r="O9" s="15">
        <f>'Kopējā tabula'!P20</f>
        <v>0</v>
      </c>
      <c r="P9" s="15" t="str">
        <f>'Kopējā tabula'!Q20</f>
        <v>N/a</v>
      </c>
      <c r="Q9" s="15">
        <f>'Kopējā tabula'!S20</f>
        <v>0</v>
      </c>
    </row>
    <row r="10" spans="1:17" ht="12.75">
      <c r="A10" t="str">
        <f>'Kopējā tabula'!A21</f>
        <v>6.2.9.</v>
      </c>
      <c r="B10" t="str">
        <f>'Kopējā tabula'!B21</f>
        <v>Fizisko personu kā saimnieciskās darbības veicēju reģistrācija</v>
      </c>
      <c r="C10" t="str">
        <f>'Kopējā tabula'!C21</f>
        <v>V2</v>
      </c>
      <c r="D10">
        <f>'Kopējā tabula'!D21</f>
        <v>0</v>
      </c>
      <c r="E10" t="str">
        <f>'Kopējā tabula'!E21</f>
        <v>2009.gadā reģistrētas 8538 personas, veidojot 138230 Ls</v>
      </c>
      <c r="F10">
        <f>'Kopējā tabula'!F21</f>
        <v>0</v>
      </c>
      <c r="G10">
        <f>'Kopējā tabula'!G21</f>
        <v>138230</v>
      </c>
      <c r="H10" t="str">
        <f>'Kopējā tabula'!H21</f>
        <v>Funkcijas nodošanas rezultātā papildu rēķināmi 30% administratīvie izdevumi. 20% plānotais ietaupījums.</v>
      </c>
      <c r="I10">
        <f>'Kopējā tabula'!I21</f>
        <v>0</v>
      </c>
      <c r="J10">
        <f>'Kopējā tabula'!J21</f>
        <v>27646</v>
      </c>
      <c r="K10">
        <f>'Kopējā tabula'!K21</f>
        <v>11848.285714285716</v>
      </c>
      <c r="L10">
        <f>'Kopējā tabula'!L21</f>
        <v>0</v>
      </c>
      <c r="M10" s="15">
        <f>'Kopējā tabula'!N21</f>
        <v>39500</v>
      </c>
      <c r="N10" s="15">
        <f>'Kopējā tabula'!O21</f>
        <v>0</v>
      </c>
      <c r="O10" s="15">
        <f>'Kopējā tabula'!P21</f>
        <v>0</v>
      </c>
      <c r="P10" s="15" t="str">
        <f>'Kopējā tabula'!Q21</f>
        <v>N/a</v>
      </c>
      <c r="Q10" s="15">
        <f>'Kopējā tabula'!S21</f>
        <v>0</v>
      </c>
    </row>
    <row r="11" spans="1:17" ht="12.75">
      <c r="A11" t="str">
        <f>'Kopējā tabula'!A22</f>
        <v>6.2.10.</v>
      </c>
      <c r="B11" t="str">
        <f>'Kopējā tabula'!B22</f>
        <v>Konfiscētu preču iznīcināšanas vides aspektu uzraudzība</v>
      </c>
      <c r="C11" t="str">
        <f>'Kopējā tabula'!C22</f>
        <v>M1</v>
      </c>
      <c r="D11">
        <f>'Kopējā tabula'!D22</f>
        <v>0</v>
      </c>
      <c r="E11" t="str">
        <f>'Kopējā tabula'!E22</f>
        <v>2009.gadā izdoti 2 atzinumi</v>
      </c>
      <c r="F11">
        <f>'Kopējā tabula'!F22</f>
        <v>0</v>
      </c>
      <c r="G11">
        <f>'Kopējā tabula'!G22</f>
        <v>12</v>
      </c>
      <c r="H11" t="str">
        <f>'Kopējā tabula'!H22</f>
        <v>Funkcija likvidējama</v>
      </c>
      <c r="I11">
        <f>'Kopējā tabula'!I22</f>
        <v>0</v>
      </c>
      <c r="J11">
        <f>'Kopējā tabula'!J22</f>
        <v>12</v>
      </c>
      <c r="K11">
        <f>'Kopējā tabula'!K22</f>
        <v>0</v>
      </c>
      <c r="L11">
        <f>'Kopējā tabula'!L22</f>
        <v>0</v>
      </c>
      <c r="M11" s="15">
        <f>'Kopējā tabula'!N22</f>
        <v>12</v>
      </c>
      <c r="N11" s="15">
        <f>'Kopējā tabula'!O22</f>
        <v>0</v>
      </c>
      <c r="O11" s="15">
        <f>'Kopējā tabula'!P22</f>
        <v>0</v>
      </c>
      <c r="P11" s="15" t="str">
        <f>'Kopējā tabula'!Q22</f>
        <v>n/a</v>
      </c>
      <c r="Q11" s="15">
        <f>'Kopējā tabula'!S22</f>
        <v>0</v>
      </c>
    </row>
    <row r="12" spans="1:17" ht="12.75">
      <c r="A12" t="str">
        <f>'Kopējā tabula'!A23</f>
        <v>6.2.11.</v>
      </c>
      <c r="B12" t="str">
        <f>'Kopējā tabula'!B23</f>
        <v>Augu aizsardzības līdzekļu atļauju izdošana</v>
      </c>
      <c r="C12" t="str">
        <f>'Kopējā tabula'!C23</f>
        <v>V2</v>
      </c>
      <c r="D12">
        <f>'Kopējā tabula'!D23</f>
        <v>0</v>
      </c>
      <c r="E12" t="str">
        <f>'Kopējā tabula'!E23</f>
        <v>2009.gadā izskatīti 108 pieteikumi, izsniegtas 31 atļauja un pārreģistrētas 39 atļaujas. Kopējās izmaksas (ieskaitot administratīvos izdevumus) 6398</v>
      </c>
      <c r="F12">
        <f>'Kopējā tabula'!F23</f>
        <v>0</v>
      </c>
      <c r="G12">
        <f>'Kopējā tabula'!G23</f>
        <v>6398</v>
      </c>
      <c r="H12" t="str">
        <f>'Kopējā tabula'!H23</f>
        <v>Neiesaistot ZM atļauju izsniegšanā, kopējais ietaupījums 10% no kopējām izmaksām</v>
      </c>
      <c r="I12">
        <f>'Kopējā tabula'!I23</f>
        <v>0</v>
      </c>
      <c r="J12">
        <f>'Kopējā tabula'!J23</f>
        <v>540</v>
      </c>
      <c r="K12">
        <f>'Kopējā tabula'!K23</f>
        <v>99.80000000000001</v>
      </c>
      <c r="L12">
        <f>'Kopējā tabula'!L23</f>
        <v>0</v>
      </c>
      <c r="M12" s="15">
        <f>'Kopējā tabula'!N23</f>
        <v>640</v>
      </c>
      <c r="N12" s="15">
        <f>'Kopējā tabula'!O23</f>
        <v>0</v>
      </c>
      <c r="O12" s="15">
        <f>'Kopējā tabula'!P23</f>
        <v>0</v>
      </c>
      <c r="P12" s="15" t="str">
        <f>'Kopējā tabula'!Q23</f>
        <v>N/a</v>
      </c>
      <c r="Q12" s="15">
        <f>'Kopējā tabula'!S23</f>
        <v>0</v>
      </c>
    </row>
    <row r="13" spans="1:17" ht="12.75">
      <c r="A13" t="str">
        <f>'Kopējā tabula'!A24</f>
        <v>6.2.12.</v>
      </c>
      <c r="B13" t="str">
        <f>'Kopējā tabula'!B24</f>
        <v>Bīstamo iekārtu uzraudzība</v>
      </c>
      <c r="C13" t="str">
        <f>'Kopējā tabula'!C24</f>
        <v>V2</v>
      </c>
      <c r="D13">
        <f>'Kopējā tabula'!D24</f>
        <v>0</v>
      </c>
      <c r="E13" t="str">
        <f>'Kopējā tabula'!E24</f>
        <v>Nav ietekmes</v>
      </c>
      <c r="F13">
        <f>'Kopējā tabula'!F24</f>
        <v>0</v>
      </c>
      <c r="G13">
        <f>'Kopējā tabula'!G24</f>
        <v>0</v>
      </c>
      <c r="H13" t="str">
        <f>'Kopējā tabula'!H24</f>
        <v>Nav ietekmes</v>
      </c>
      <c r="I13">
        <f>'Kopējā tabula'!I24</f>
        <v>0</v>
      </c>
      <c r="J13">
        <f>'Kopējā tabula'!J24</f>
        <v>0</v>
      </c>
      <c r="K13">
        <f>'Kopējā tabula'!K24</f>
        <v>0</v>
      </c>
      <c r="L13">
        <f>'Kopējā tabula'!L24</f>
        <v>0</v>
      </c>
      <c r="M13" s="15">
        <f>'Kopējā tabula'!N24</f>
        <v>0</v>
      </c>
      <c r="N13" s="15">
        <f>'Kopējā tabula'!O24</f>
        <v>0</v>
      </c>
      <c r="O13" s="15">
        <f>'Kopējā tabula'!P24</f>
        <v>0</v>
      </c>
      <c r="P13" s="15" t="str">
        <f>'Kopējā tabula'!Q24</f>
        <v>Papildu analīze</v>
      </c>
      <c r="Q13" s="15">
        <f>'Kopējā tabula'!S24</f>
        <v>0</v>
      </c>
    </row>
    <row r="14" spans="1:17" ht="12.75">
      <c r="A14" t="str">
        <f>'Kopējā tabula'!A26</f>
        <v>6.3.1.</v>
      </c>
      <c r="B14" t="str">
        <f>'Kopējā tabula'!B26</f>
        <v>Valsts statistiskās informācijas apkopošana</v>
      </c>
      <c r="C14" t="str">
        <f>'Kopējā tabula'!C26</f>
        <v>M2</v>
      </c>
      <c r="D14">
        <f>'Kopējā tabula'!D26</f>
        <v>0</v>
      </c>
      <c r="E14" t="str">
        <f>'Kopējā tabula'!E26</f>
        <v>2009.gadā CSP saņemti un apstrādāti 118402 pārskati, veidojot izmaksas 514745 Ls apmērā, LB saņemti 8240 pārskati, veidojot 95500 izmaksas Ls apmērā, LAD sa;nemti 203 pārskati, izmaksas 142 Ls</v>
      </c>
      <c r="F14">
        <f>'Kopējā tabula'!F26</f>
        <v>0</v>
      </c>
      <c r="G14">
        <f>'Kopējā tabula'!G26</f>
        <v>610387</v>
      </c>
      <c r="H14" t="str">
        <f>'Kopējā tabula'!H26</f>
        <v>Samazinot kopējo sniedzamo statistisko datu apjomu (pārskatu skaits, biežums, datu iegūšana no citām institūcijām) kopējais ietaupījums izmaksas 20%. Administratīvo izmaksu rēķināmā proporcija 15%.</v>
      </c>
      <c r="I14">
        <f>'Kopējā tabula'!I26</f>
        <v>0</v>
      </c>
      <c r="J14">
        <f>'Kopējā tabula'!J26</f>
        <v>122077.40000000001</v>
      </c>
      <c r="K14">
        <f>'Kopējā tabula'!K26</f>
        <v>21543.070588235296</v>
      </c>
      <c r="L14">
        <f>'Kopējā tabula'!L26</f>
        <v>0</v>
      </c>
      <c r="M14" s="15">
        <f>'Kopējā tabula'!N26</f>
        <v>143620.4705882353</v>
      </c>
      <c r="N14" s="15" t="str">
        <f>'Kopējā tabula'!O26</f>
        <v>Uz vienu pārskatu vidēji 3h, likme 5 Ls stundā</v>
      </c>
      <c r="O14" s="15">
        <f>'Kopējā tabula'!P26</f>
        <v>1902675</v>
      </c>
      <c r="P14" s="15" t="str">
        <f>'Kopējā tabula'!Q26</f>
        <v>Samazinoties no komersantiem pieprasīto datu apjoms, izmaksu ietaupījums 30%</v>
      </c>
      <c r="Q14" s="15">
        <f>'Kopējā tabula'!S26</f>
        <v>570800</v>
      </c>
    </row>
    <row r="15" spans="1:17" ht="12.75">
      <c r="A15" t="str">
        <f>'Kopējā tabula'!A27</f>
        <v>6.3.2.</v>
      </c>
      <c r="B15" t="str">
        <f>'Kopējā tabula'!B27</f>
        <v>Vides statistiskā informācija</v>
      </c>
      <c r="C15" t="str">
        <f>'Kopējā tabula'!C27</f>
        <v>M2</v>
      </c>
      <c r="D15">
        <f>'Kopējā tabula'!D27</f>
        <v>0</v>
      </c>
      <c r="E15" t="str">
        <f>'Kopējā tabula'!E27</f>
        <v>LVĢMC datubāzēs iesniegti 8622 pārskati, veidojot izmaksas 21709 Ls apmērā.</v>
      </c>
      <c r="F15">
        <f>'Kopējā tabula'!F27</f>
        <v>0</v>
      </c>
      <c r="G15">
        <f>'Kopējā tabula'!G27</f>
        <v>21709</v>
      </c>
      <c r="H15" t="str">
        <f>'Kopējā tabula'!H27</f>
        <v>Pārskatot un samazinot kopējo sniedzamo datu apjomu (pārskatu datu apjoms) kopējais ietaupījums institucijas pusē būtu 10%</v>
      </c>
      <c r="I15">
        <f>'Kopējā tabula'!I27</f>
        <v>0</v>
      </c>
      <c r="J15">
        <f>'Kopējā tabula'!J27</f>
        <v>2170.9</v>
      </c>
      <c r="K15">
        <f>'Kopējā tabula'!K27</f>
        <v>0</v>
      </c>
      <c r="L15">
        <f>'Kopējā tabula'!L27</f>
        <v>0</v>
      </c>
      <c r="M15" s="15">
        <f>'Kopējā tabula'!N27</f>
        <v>2170</v>
      </c>
      <c r="N15" s="15" t="str">
        <f>'Kopējā tabula'!O27</f>
        <v>Uz vienu pārskatu vidēji 3h, likme 5 Ls stundā</v>
      </c>
      <c r="O15" s="15">
        <f>'Kopējā tabula'!P27</f>
        <v>129330</v>
      </c>
      <c r="P15" s="15" t="str">
        <f>'Kopējā tabula'!Q27</f>
        <v>Samazinoties no komersantiem pieprasīto datu apjoms, izmaksu ietaupījums 30%</v>
      </c>
      <c r="Q15" s="15">
        <f>'Kopējā tabula'!S27</f>
        <v>38800</v>
      </c>
    </row>
    <row r="16" spans="1:17" ht="12.75">
      <c r="A16" t="str">
        <f>'Kopējā tabula'!A28</f>
        <v>6.3.3.</v>
      </c>
      <c r="B16" t="str">
        <f>'Kopējā tabula'!B28</f>
        <v>Nekustamā īpašuma valsts kadastra datu pieejamība</v>
      </c>
      <c r="C16" t="str">
        <f>'Kopējā tabula'!C28</f>
        <v>D</v>
      </c>
      <c r="D16">
        <f>'Kopējā tabula'!D28</f>
        <v>0</v>
      </c>
      <c r="E16" t="str">
        <f>'Kopējā tabula'!E28</f>
        <v>Dati pieejami tikai par 5 pašvaldībām</v>
      </c>
      <c r="F16">
        <f>'Kopējā tabula'!F28</f>
        <v>0</v>
      </c>
      <c r="G16">
        <f>'Kopējā tabula'!G28</f>
        <v>0</v>
      </c>
      <c r="H16" t="str">
        <f>'Kopējā tabula'!H28</f>
        <v>Kadastra datu pieejamība aizstātu kadastra informācijas pieprasīšanu no komersantiem pašvaldībās: 50 rajonu pilsētas - 2500 pakalpojumi gadā, 7 republikas pilsētas 2000 pakalpojumi gadā, 41 novads 800 pakalpojumi gadā, 424 pagasti - 4300 pakalpojumi gadā. Ietaupījums datus skatot Kadastra IS, nevis dokumentos 1h = 5 Ls.</v>
      </c>
      <c r="I16">
        <f>'Kopējā tabula'!I28</f>
        <v>0</v>
      </c>
      <c r="J16">
        <f>'Kopējā tabula'!J28</f>
        <v>48000</v>
      </c>
      <c r="K16">
        <f>'Kopējā tabula'!K28</f>
        <v>0</v>
      </c>
      <c r="L16">
        <f>'Kopējā tabula'!L28</f>
        <v>0</v>
      </c>
      <c r="M16" s="15">
        <f>'Kopējā tabula'!N28</f>
        <v>48000</v>
      </c>
      <c r="N16" s="15">
        <f>'Kopējā tabula'!O28</f>
        <v>0</v>
      </c>
      <c r="O16" s="15">
        <f>'Kopējā tabula'!P28</f>
        <v>0</v>
      </c>
      <c r="P16" s="15" t="str">
        <f>'Kopējā tabula'!Q28</f>
        <v>Dokumentu sagatavošana un iesniegšana un atbildes saņemšana tālākai iesniegšanai 3h * 5 Ls = 15 Ls uz vienu pakalpojumu</v>
      </c>
      <c r="Q16" s="15">
        <f>'Kopējā tabula'!S28</f>
        <v>144000</v>
      </c>
    </row>
    <row r="17" spans="1:17" ht="12.75">
      <c r="A17" t="str">
        <f>'Kopējā tabula'!A30</f>
        <v>6.4.1.</v>
      </c>
      <c r="B17" t="str">
        <f>'Kopējā tabula'!B30</f>
        <v>Ārējo tirdzniecību licenču administrēšana</v>
      </c>
      <c r="C17" t="str">
        <f>'Kopējā tabula'!C30</f>
        <v>IT</v>
      </c>
      <c r="D17">
        <f>'Kopējā tabula'!D30</f>
        <v>0</v>
      </c>
      <c r="E17" t="str">
        <f>'Kopējā tabula'!E30</f>
        <v>Ārējo tirdzniecības licenču tirdzniecības administrēšana sastāda 1.5 slodzes jeb 890 Ls mēnesī.</v>
      </c>
      <c r="F17">
        <f>'Kopējā tabula'!F30</f>
        <v>0</v>
      </c>
      <c r="G17">
        <f>'Kopējā tabula'!G30</f>
        <v>10680</v>
      </c>
      <c r="H17" t="str">
        <f>'Kopējā tabula'!H30</f>
        <v>Elektronizējot dokumentu pieņemšanu un apstrādi, ietaupījums būtu 20%. Papildu aprēķināmi administratīvo izdevumu 30% ietaupījums par 20%</v>
      </c>
      <c r="I17">
        <f>'Kopējā tabula'!I30</f>
        <v>0</v>
      </c>
      <c r="J17">
        <f>'Kopējā tabula'!J30</f>
        <v>2136</v>
      </c>
      <c r="K17">
        <f>'Kopējā tabula'!K30</f>
        <v>915.4285714285716</v>
      </c>
      <c r="L17">
        <f>'Kopējā tabula'!L30</f>
        <v>0</v>
      </c>
      <c r="M17" s="15">
        <f>'Kopējā tabula'!N30</f>
        <v>3050</v>
      </c>
      <c r="N17" s="15">
        <f>'Kopējā tabula'!O30</f>
        <v>0</v>
      </c>
      <c r="O17" s="15">
        <f>'Kopējā tabula'!P30</f>
        <v>0</v>
      </c>
      <c r="P17" s="15" t="str">
        <f>'Kopējā tabula'!Q30</f>
        <v>Dokumentu sagatavošana un iesniegšana un atbildes saņemšana tālākai iesniegšanai 3h * 5 Ls = 15 Ls uz vienu licenci. Gadā vidēji 2000 licences</v>
      </c>
      <c r="Q17" s="15">
        <f>'Kopējā tabula'!S30</f>
        <v>30000</v>
      </c>
    </row>
    <row r="18" spans="1:17" ht="12.75">
      <c r="A18" t="str">
        <f>'Kopējā tabula'!A31</f>
        <v>6.4.2.</v>
      </c>
      <c r="B18" t="str">
        <f>'Kopējā tabula'!B31</f>
        <v>Importa (AGRIM) vai eksporta (AGREX) e-licences ieviešana</v>
      </c>
      <c r="C18" t="str">
        <f>'Kopējā tabula'!C31</f>
        <v>IT</v>
      </c>
      <c r="D18">
        <f>'Kopējā tabula'!D31</f>
        <v>0</v>
      </c>
      <c r="E18" t="str">
        <f>'Kopējā tabula'!E31</f>
        <v>Licenču administrēšanai LAD ik gadu tērē vidēji 25 000 Ls.</v>
      </c>
      <c r="F18">
        <f>'Kopējā tabula'!F31</f>
        <v>0</v>
      </c>
      <c r="G18">
        <f>'Kopējā tabula'!G31</f>
        <v>25000</v>
      </c>
      <c r="H18" t="str">
        <f>'Kopējā tabula'!H31</f>
        <v>Ieviešot e-licenci un nodrošinot datu apmaiņu ar VID Muitas pārvaldi, izmaksu ietaupījums būtu 15%.</v>
      </c>
      <c r="I18">
        <f>'Kopējā tabula'!I31</f>
        <v>0</v>
      </c>
      <c r="J18">
        <f>'Kopējā tabula'!J31</f>
        <v>3750</v>
      </c>
      <c r="K18">
        <f>'Kopējā tabula'!K31</f>
        <v>0</v>
      </c>
      <c r="L18">
        <f>'Kopējā tabula'!L31</f>
        <v>0</v>
      </c>
      <c r="M18" s="15">
        <f>'Kopējā tabula'!N31</f>
        <v>3750</v>
      </c>
      <c r="N18" s="15">
        <f>'Kopējā tabula'!O31</f>
        <v>0</v>
      </c>
      <c r="O18" s="15">
        <f>'Kopējā tabula'!P31</f>
        <v>0</v>
      </c>
      <c r="P18" s="15" t="str">
        <f>'Kopējā tabula'!Q31</f>
        <v>Dokumentu sagatavošana un iesniegšana un atbildes saņemšana tālākai iesniegšanai 3h * 5 Ls = 15 Ls uz vienu licenci. Gadā vidēji 400 licences</v>
      </c>
      <c r="Q18" s="15">
        <f>'Kopējā tabula'!S31</f>
        <v>6000</v>
      </c>
    </row>
    <row r="19" spans="1:17" ht="12.75">
      <c r="A19" t="str">
        <f>'Kopējā tabula'!A32</f>
        <v>6.4.3.</v>
      </c>
      <c r="B19" t="str">
        <f>'Kopējā tabula'!B32</f>
        <v>Rūpnieciskā īpašuma aizsardzības procesa administrēšana e-vidē</v>
      </c>
      <c r="C19" t="str">
        <f>'Kopējā tabula'!C32</f>
        <v>IT</v>
      </c>
      <c r="D19">
        <f>'Kopējā tabula'!D32</f>
        <v>0</v>
      </c>
      <c r="E19" t="str">
        <f>'Kopējā tabula'!E32</f>
        <v>Patentu, preču zīmju un dizainparaugu reģistrācijas procesa izmaksas 293718 Ls</v>
      </c>
      <c r="F19">
        <f>'Kopējā tabula'!F32</f>
        <v>0</v>
      </c>
      <c r="G19">
        <f>'Kopējā tabula'!G32</f>
        <v>293718</v>
      </c>
      <c r="H19" t="str">
        <f>'Kopējā tabula'!H32</f>
        <v>Ieviešot e-pakalpojumus, iespējamais ietaupījums būtu 20%, papildus rēķināmi 30% administratīvie izdevumi</v>
      </c>
      <c r="I19">
        <f>'Kopējā tabula'!I32</f>
        <v>0</v>
      </c>
      <c r="J19">
        <f>'Kopējā tabula'!J32</f>
        <v>58743.600000000006</v>
      </c>
      <c r="K19">
        <f>'Kopējā tabula'!K32</f>
        <v>25175.828571428574</v>
      </c>
      <c r="L19">
        <f>'Kopējā tabula'!L32</f>
        <v>0</v>
      </c>
      <c r="M19" s="15">
        <f>'Kopējā tabula'!N32</f>
        <v>83920</v>
      </c>
      <c r="N19" s="15">
        <f>'Kopējā tabula'!O32</f>
        <v>0</v>
      </c>
      <c r="O19" s="15">
        <f>'Kopējā tabula'!P32</f>
        <v>0</v>
      </c>
      <c r="P19" s="15" t="str">
        <f>'Kopējā tabula'!Q32</f>
        <v>Dokumentu sagatavošana un iesniegšana un atbildes saņemšana tālākai iesniegšanai 3h * 5 Ls = 15 Ls uz vienu licenci. Gadā vidēji 2500 pieteikumi atļaujām, licencēm, pasēm utt.</v>
      </c>
      <c r="Q19" s="15">
        <f>'Kopējā tabula'!S32</f>
        <v>37500</v>
      </c>
    </row>
    <row r="20" spans="1:17" ht="12.75">
      <c r="A20" t="str">
        <f>'Kopējā tabula'!A33</f>
        <v>6.4.4.</v>
      </c>
      <c r="B20" t="str">
        <f>'Kopējā tabula'!B33</f>
        <v>E-pakalpojumu un datu apmaiņas ieviešana vides aizsardzībā</v>
      </c>
      <c r="C20" t="str">
        <f>'Kopējā tabula'!C33</f>
        <v>IT</v>
      </c>
      <c r="D20">
        <f>'Kopējā tabula'!D33</f>
        <v>0</v>
      </c>
      <c r="E20" t="str">
        <f>'Kopējā tabula'!E33</f>
        <v>VVD veiktās darbības atļauju izdošanā, pārskatu izskatīšanā, pārbaužu veikšanā veido 6 254 883 Ls.</v>
      </c>
      <c r="F20">
        <f>'Kopējā tabula'!F33</f>
        <v>0</v>
      </c>
      <c r="G20">
        <f>'Kopējā tabula'!G33</f>
        <v>6254883</v>
      </c>
      <c r="H20" t="str">
        <f>'Kopējā tabula'!H33</f>
        <v>Ieviešot IT sistēmu darbības atbalstam un nodrošinot e-pakalpojumu sniegšanu, izmaksu ietaupījums 20%</v>
      </c>
      <c r="I20">
        <f>'Kopējā tabula'!I33</f>
        <v>0</v>
      </c>
      <c r="J20">
        <f>'Kopējā tabula'!J33</f>
        <v>1250976.6</v>
      </c>
      <c r="K20">
        <f>'Kopējā tabula'!K33</f>
        <v>0</v>
      </c>
      <c r="L20">
        <f>'Kopējā tabula'!L33</f>
        <v>0</v>
      </c>
      <c r="M20" s="15">
        <f>'Kopējā tabula'!N33</f>
        <v>1250900</v>
      </c>
      <c r="N20" s="15">
        <f>'Kopējā tabula'!O33</f>
        <v>0</v>
      </c>
      <c r="O20" s="15">
        <f>'Kopējā tabula'!P33</f>
        <v>0</v>
      </c>
      <c r="P20" s="15" t="str">
        <f>'Kopējā tabula'!Q33</f>
        <v>Dokumentu sagatavošana un iesniegšana un atbildes saņemšana tālākai iesniegšanai 5h * 5 Ls = 25 Ls uz vienu licenci. Gadā vidēji 3000 pieteikumi reģistrācijai</v>
      </c>
      <c r="Q20" s="15">
        <f>'Kopējā tabula'!S33</f>
        <v>75000</v>
      </c>
    </row>
    <row r="21" spans="1:17" ht="12.75">
      <c r="A21" t="str">
        <f>'Kopējā tabula'!A35</f>
        <v>6.6.1.</v>
      </c>
      <c r="B21" t="str">
        <f>'Kopējā tabula'!B35</f>
        <v>Akreditācijas sistēmas atzīšana Eiropā</v>
      </c>
      <c r="C21" t="str">
        <f>'Kopējā tabula'!C35</f>
        <v>M3</v>
      </c>
      <c r="D21">
        <f>'Kopējā tabula'!D35</f>
        <v>0</v>
      </c>
      <c r="E21" t="str">
        <f>'Kopējā tabula'!E35</f>
        <v>Nav ietekmes</v>
      </c>
      <c r="F21">
        <f>'Kopējā tabula'!F35</f>
        <v>0</v>
      </c>
      <c r="G21">
        <f>'Kopējā tabula'!G35</f>
        <v>0</v>
      </c>
      <c r="H21" t="str">
        <f>'Kopējā tabula'!H35</f>
        <v>Nav ietekmes</v>
      </c>
      <c r="I21">
        <f>'Kopējā tabula'!I35</f>
        <v>0</v>
      </c>
      <c r="J21">
        <f>'Kopējā tabula'!J35</f>
        <v>0</v>
      </c>
      <c r="K21">
        <f>'Kopējā tabula'!K35</f>
        <v>0</v>
      </c>
      <c r="L21">
        <f>'Kopējā tabula'!L35</f>
        <v>0</v>
      </c>
      <c r="M21" s="15">
        <f>'Kopējā tabula'!N35</f>
        <v>0</v>
      </c>
      <c r="N21" s="15">
        <f>'Kopējā tabula'!O35</f>
        <v>0</v>
      </c>
      <c r="O21" s="15">
        <f>'Kopējā tabula'!P35</f>
        <v>0</v>
      </c>
      <c r="P21" s="15" t="str">
        <f>'Kopējā tabula'!Q35</f>
        <v>Nav datu aprēķina veikšanai</v>
      </c>
      <c r="Q21" s="15">
        <f>'Kopējā tabula'!S35</f>
        <v>0</v>
      </c>
    </row>
    <row r="22" spans="1:17" ht="12.75">
      <c r="A22" t="str">
        <f>'Kopējā tabula'!A36</f>
        <v>6.6.2.</v>
      </c>
      <c r="B22" t="str">
        <f>'Kopējā tabula'!B36</f>
        <v>Elektroniskās deklarēšanas sistēma</v>
      </c>
      <c r="C22" t="str">
        <f>'Kopējā tabula'!C36</f>
        <v>IT</v>
      </c>
      <c r="D22">
        <f>'Kopējā tabula'!D36</f>
        <v>0</v>
      </c>
      <c r="E22" t="str">
        <f>'Kopējā tabula'!E36</f>
        <v>Ja neEDS iesniegtie dokumenti tiktu iesniegti EDS par nodokļu pārskatiem un vispārējo reģistrāciju, tad izmaksu ietaupījums būtu 232 450 Ls</v>
      </c>
      <c r="F22">
        <f>'Kopējā tabula'!F36</f>
        <v>0</v>
      </c>
      <c r="G22">
        <f>'Kopējā tabula'!G36</f>
        <v>232450</v>
      </c>
      <c r="H22" t="str">
        <f>'Kopējā tabula'!H36</f>
        <v>Veicinot EDS lietošanu, 50% no neEDS tiktu snegti caur EDS</v>
      </c>
      <c r="I22">
        <f>'Kopējā tabula'!I36</f>
        <v>0</v>
      </c>
      <c r="J22">
        <f>'Kopējā tabula'!J36</f>
        <v>116225</v>
      </c>
      <c r="K22">
        <f>'Kopējā tabula'!K36</f>
        <v>0</v>
      </c>
      <c r="L22">
        <f>'Kopējā tabula'!L36</f>
        <v>0</v>
      </c>
      <c r="M22" s="15">
        <f>'Kopējā tabula'!N36</f>
        <v>116225</v>
      </c>
      <c r="N22" s="15">
        <f>'Kopējā tabula'!O36</f>
        <v>0</v>
      </c>
      <c r="O22" s="15">
        <f>'Kopējā tabula'!P36</f>
        <v>0</v>
      </c>
      <c r="P22" s="15" t="str">
        <f>'Kopējā tabula'!Q36</f>
        <v>Nav rerezentatīvu datu aprēķinu veikšanai</v>
      </c>
      <c r="Q22" s="15">
        <f>'Kopējā tabula'!S36</f>
        <v>0</v>
      </c>
    </row>
    <row r="23" spans="1:17" ht="12.75">
      <c r="A23" t="str">
        <f>'Kopējā tabula'!A37</f>
        <v>6.6.3.</v>
      </c>
      <c r="B23" t="str">
        <f>'Kopējā tabula'!B37</f>
        <v>Zāļu ražošanas uzņēmuma licencēšanas paātrināšana</v>
      </c>
      <c r="C23" t="str">
        <f>'Kopējā tabula'!C37</f>
        <v>V1</v>
      </c>
      <c r="D23">
        <f>'Kopējā tabula'!D37</f>
        <v>0</v>
      </c>
      <c r="E23" t="str">
        <f>'Kopējā tabula'!E37</f>
        <v>Nav ietekmes</v>
      </c>
      <c r="F23">
        <f>'Kopējā tabula'!F37</f>
        <v>0</v>
      </c>
      <c r="G23">
        <f>'Kopējā tabula'!G37</f>
        <v>0</v>
      </c>
      <c r="H23" t="str">
        <f>'Kopējā tabula'!H37</f>
        <v>Nav ietekmes</v>
      </c>
      <c r="I23">
        <f>'Kopējā tabula'!I37</f>
        <v>0</v>
      </c>
      <c r="J23">
        <f>'Kopējā tabula'!J37</f>
        <v>0</v>
      </c>
      <c r="K23">
        <f>'Kopējā tabula'!K37</f>
        <v>0</v>
      </c>
      <c r="L23">
        <f>'Kopējā tabula'!L37</f>
        <v>0</v>
      </c>
      <c r="M23" s="15">
        <f>'Kopējā tabula'!N37</f>
        <v>0</v>
      </c>
      <c r="N23" s="15">
        <f>'Kopējā tabula'!O37</f>
        <v>0</v>
      </c>
      <c r="O23" s="15">
        <f>'Kopējā tabula'!P37</f>
        <v>0</v>
      </c>
      <c r="P23" s="15" t="str">
        <f>'Kopējā tabula'!Q37</f>
        <v>Iesaldētas investīcijas 100 000 Ls gadā, 5% zaudējumi gadā, 10 uzņēmumi gadā</v>
      </c>
      <c r="Q23" s="15">
        <f>'Kopējā tabula'!S37</f>
        <v>0</v>
      </c>
    </row>
    <row r="24" spans="1:17" ht="12.75">
      <c r="A24" t="str">
        <f>'Kopējā tabula'!A38</f>
        <v>6.6.4.</v>
      </c>
      <c r="B24" t="str">
        <f>'Kopējā tabula'!B38</f>
        <v>Preču zīmju reģistrācija</v>
      </c>
      <c r="C24" t="str">
        <f>'Kopējā tabula'!C38</f>
        <v>V1</v>
      </c>
      <c r="D24">
        <f>'Kopējā tabula'!D38</f>
        <v>0</v>
      </c>
      <c r="E24" t="str">
        <f>'Kopējā tabula'!E38</f>
        <v>Nav kvantificējams</v>
      </c>
      <c r="F24">
        <f>'Kopējā tabula'!F38</f>
        <v>0</v>
      </c>
      <c r="G24">
        <f>'Kopējā tabula'!G38</f>
        <v>0</v>
      </c>
      <c r="H24">
        <f>'Kopējā tabula'!H38</f>
        <v>0</v>
      </c>
      <c r="I24">
        <f>'Kopējā tabula'!I38</f>
        <v>0</v>
      </c>
      <c r="J24">
        <f>'Kopējā tabula'!J38</f>
        <v>0</v>
      </c>
      <c r="K24">
        <f>'Kopējā tabula'!K38</f>
        <v>0</v>
      </c>
      <c r="L24">
        <f>'Kopējā tabula'!L38</f>
        <v>0</v>
      </c>
      <c r="M24" s="15">
        <f>'Kopējā tabula'!N38</f>
        <v>0</v>
      </c>
      <c r="N24" s="15">
        <f>'Kopējā tabula'!O38</f>
        <v>0</v>
      </c>
      <c r="O24" s="15">
        <f>'Kopējā tabula'!P38</f>
        <v>0</v>
      </c>
      <c r="P24" s="15" t="str">
        <f>'Kopējā tabula'!Q38</f>
        <v>Nav kvantificējams</v>
      </c>
      <c r="Q24" s="15">
        <f>'Kopējā tabula'!S38</f>
        <v>0</v>
      </c>
    </row>
    <row r="25" spans="1:17" ht="12.75">
      <c r="A25" t="str">
        <f>'Kopējā tabula'!A39</f>
        <v>6.6.5.</v>
      </c>
      <c r="B25" t="str">
        <f>'Kopējā tabula'!B39</f>
        <v>Ugunsdrošības obligāto pārbaužu skaita samazināšana</v>
      </c>
      <c r="C25" t="str">
        <f>'Kopējā tabula'!C39</f>
        <v>V1</v>
      </c>
      <c r="D25">
        <f>'Kopējā tabula'!D39</f>
        <v>0</v>
      </c>
      <c r="E25" t="str">
        <f>'Kopējā tabula'!E39</f>
        <v>VUGD izdevumi 2009.gadā 744884 Ls, gan ugunsdrošība, gan civilā aizsardzība</v>
      </c>
      <c r="F25">
        <f>'Kopējā tabula'!F39</f>
        <v>0</v>
      </c>
      <c r="G25">
        <f>'Kopējā tabula'!G39</f>
        <v>744844</v>
      </c>
      <c r="H25" t="str">
        <f>'Kopējā tabula'!H39</f>
        <v>Samazinot pārbaužu skaitu, kopējie izdevumi samazinātos par 10%</v>
      </c>
      <c r="I25">
        <f>'Kopējā tabula'!I39</f>
        <v>0</v>
      </c>
      <c r="J25">
        <f>'Kopējā tabula'!J39</f>
        <v>0</v>
      </c>
      <c r="K25">
        <f>'Kopējā tabula'!K39</f>
        <v>0</v>
      </c>
      <c r="L25">
        <f>'Kopējā tabula'!L39</f>
        <v>0</v>
      </c>
      <c r="M25" s="15">
        <f>'Kopējā tabula'!N39</f>
        <v>74450</v>
      </c>
      <c r="N25" s="15">
        <f>'Kopējā tabula'!O39</f>
        <v>0</v>
      </c>
      <c r="O25" s="15">
        <f>'Kopējā tabula'!P39</f>
        <v>0</v>
      </c>
      <c r="P25" s="15" t="str">
        <f>'Kopējā tabula'!Q39</f>
        <v>2009.gadā veiktas 5472 pārbaudes komercuzņēmumos. Kopējo pārbaužu skaitu samazinot par 10%. Izmaksas uz 1 pārbaudi 8h*10Ls</v>
      </c>
      <c r="Q25" s="15">
        <f>'Kopējā tabula'!S39</f>
        <v>43780</v>
      </c>
    </row>
    <row r="26" spans="1:17" ht="12.75">
      <c r="A26" t="str">
        <f>'Kopējā tabula'!A40</f>
        <v>6.6.6.</v>
      </c>
      <c r="B26" t="str">
        <f>'Kopējā tabula'!B40</f>
        <v>Pārvadājumu pārkāpumu soda mēri</v>
      </c>
      <c r="C26" t="str">
        <f>'Kopējā tabula'!C40</f>
        <v>M3</v>
      </c>
      <c r="D26">
        <f>'Kopējā tabula'!D40</f>
        <v>0</v>
      </c>
      <c r="E26" t="str">
        <f>'Kopējā tabula'!E40</f>
        <v>Nav ietekmes</v>
      </c>
      <c r="F26">
        <f>'Kopējā tabula'!F40</f>
        <v>0</v>
      </c>
      <c r="G26">
        <f>'Kopējā tabula'!G40</f>
        <v>0</v>
      </c>
      <c r="H26" t="str">
        <f>'Kopējā tabula'!H40</f>
        <v>Nav ietekmes</v>
      </c>
      <c r="I26">
        <f>'Kopējā tabula'!I40</f>
        <v>0</v>
      </c>
      <c r="J26">
        <f>'Kopējā tabula'!J40</f>
        <v>0</v>
      </c>
      <c r="K26">
        <f>'Kopējā tabula'!K40</f>
        <v>0</v>
      </c>
      <c r="L26">
        <f>'Kopējā tabula'!L40</f>
        <v>0</v>
      </c>
      <c r="M26" s="15">
        <f>'Kopējā tabula'!N40</f>
        <v>0</v>
      </c>
      <c r="N26" s="15">
        <f>'Kopējā tabula'!O40</f>
        <v>0</v>
      </c>
      <c r="O26" s="15">
        <f>'Kopējā tabula'!P40</f>
        <v>0</v>
      </c>
      <c r="P26" s="15" t="str">
        <f>'Kopējā tabula'!Q40</f>
        <v>Nav ietekmes</v>
      </c>
      <c r="Q26" s="15">
        <f>'Kopējā tabula'!S40</f>
        <v>0</v>
      </c>
    </row>
    <row r="27" spans="1:17" ht="12.75">
      <c r="A27" t="str">
        <f>'Kopējā tabula'!A41</f>
        <v>6.6.7.</v>
      </c>
      <c r="B27" t="str">
        <f>'Kopējā tabula'!B41</f>
        <v>Pārbaužu plānošana Valsts darba inspekcijā</v>
      </c>
      <c r="C27" t="str">
        <f>'Kopējā tabula'!C41</f>
        <v>V1</v>
      </c>
      <c r="D27">
        <f>'Kopējā tabula'!D41</f>
        <v>0</v>
      </c>
      <c r="E27" t="str">
        <f>'Kopējā tabula'!E41</f>
        <v>VDI izdevumi 2009.gadā pārbaudēm 303939 Ls</v>
      </c>
      <c r="F27">
        <f>'Kopējā tabula'!F41</f>
        <v>0</v>
      </c>
      <c r="G27">
        <f>'Kopējā tabula'!G41</f>
        <v>303940</v>
      </c>
      <c r="H27" t="str">
        <f>'Kopējā tabula'!H41</f>
        <v>Samazinot pārbaužu skaitu, kopējie izdevumi samazinātos par 10%</v>
      </c>
      <c r="I27">
        <f>'Kopējā tabula'!I41</f>
        <v>0</v>
      </c>
      <c r="J27">
        <f>'Kopējā tabula'!J41</f>
        <v>0</v>
      </c>
      <c r="K27">
        <f>'Kopējā tabula'!K41</f>
        <v>0</v>
      </c>
      <c r="L27">
        <f>'Kopējā tabula'!L41</f>
        <v>0</v>
      </c>
      <c r="M27" s="15">
        <f>'Kopējā tabula'!N41</f>
        <v>30400</v>
      </c>
      <c r="N27" s="15">
        <f>'Kopējā tabula'!O41</f>
        <v>0</v>
      </c>
      <c r="O27" s="15">
        <f>'Kopējā tabula'!P41</f>
        <v>0</v>
      </c>
      <c r="P27" s="15" t="str">
        <f>'Kopējā tabula'!Q41</f>
        <v>Pieņemot, ka no visām 12189 pārbaudēm 2009.gadā 70% (8532) veikti komercuzņēmumos, samazinot pārbaužu skaitu par 10%. Izmaksas uz 1 pārbaudi 12h*10 Ls</v>
      </c>
      <c r="Q27" s="15">
        <f>'Kopējā tabula'!S41</f>
        <v>102384.00000000001</v>
      </c>
    </row>
    <row r="28" spans="1:17" ht="12.75">
      <c r="A28" t="str">
        <f>'Kopējā tabula'!A42</f>
        <v>6.6.8.</v>
      </c>
      <c r="B28" t="str">
        <f>'Kopējā tabula'!B42</f>
        <v>Pārbaužu plānošana Valsts ieņēmumu dienestā</v>
      </c>
      <c r="C28" t="str">
        <f>'Kopējā tabula'!C42</f>
        <v>V1</v>
      </c>
      <c r="D28">
        <f>'Kopējā tabula'!D42</f>
        <v>0</v>
      </c>
      <c r="E28" t="str">
        <f>'Kopējā tabula'!E42</f>
        <v>VID 2514 Muitas pārbaude - 23729 Ls, 31475 Kontroles pārbaudes - 54 279 009 Ls</v>
      </c>
      <c r="F28">
        <f>'Kopējā tabula'!F42</f>
        <v>0</v>
      </c>
      <c r="G28">
        <f>'Kopējā tabula'!G42</f>
        <v>54302738</v>
      </c>
      <c r="H28" t="str">
        <f>'Kopējā tabula'!H42</f>
        <v>Samazinot pārbaužu skaitu, kopējie izdevumi samazinātos par 10%</v>
      </c>
      <c r="I28">
        <f>'Kopējā tabula'!I42</f>
        <v>0</v>
      </c>
      <c r="J28">
        <f>'Kopējā tabula'!J42</f>
        <v>0</v>
      </c>
      <c r="K28">
        <f>'Kopējā tabula'!K42</f>
        <v>0</v>
      </c>
      <c r="L28">
        <f>'Kopējā tabula'!L42</f>
        <v>0</v>
      </c>
      <c r="M28" s="15">
        <f>'Kopējā tabula'!N42</f>
        <v>5430300</v>
      </c>
      <c r="N28" s="15">
        <f>'Kopējā tabula'!O42</f>
        <v>0</v>
      </c>
      <c r="O28" s="15">
        <f>'Kopējā tabula'!P42</f>
        <v>0</v>
      </c>
      <c r="P28" s="15" t="str">
        <f>'Kopējā tabula'!Q42</f>
        <v>2009.gadā veiktas 34000 pārbaudes, samazinot skaitu par 10%. Izmaksas uz 1 pārbaudi 24h*10 Ls</v>
      </c>
      <c r="Q28" s="15">
        <f>'Kopējā tabula'!S42</f>
        <v>816000</v>
      </c>
    </row>
    <row r="29" spans="1:17" ht="12.75">
      <c r="A29" t="str">
        <f>'Kopējā tabula'!A43</f>
        <v>6.6.9.</v>
      </c>
      <c r="B29" t="str">
        <f>'Kopējā tabula'!B43</f>
        <v>Muitas kodu atjaunināšana</v>
      </c>
      <c r="C29" t="str">
        <f>'Kopējā tabula'!C43</f>
        <v>V1</v>
      </c>
      <c r="D29">
        <f>'Kopējā tabula'!D43</f>
        <v>0</v>
      </c>
      <c r="E29" t="str">
        <f>'Kopējā tabula'!E43</f>
        <v>Nav kvantificējams</v>
      </c>
      <c r="F29">
        <f>'Kopējā tabula'!F43</f>
        <v>0</v>
      </c>
      <c r="G29">
        <f>'Kopējā tabula'!G43</f>
        <v>0</v>
      </c>
      <c r="H29">
        <f>'Kopējā tabula'!H43</f>
        <v>0</v>
      </c>
      <c r="I29">
        <f>'Kopējā tabula'!I43</f>
        <v>0</v>
      </c>
      <c r="J29">
        <f>'Kopējā tabula'!J43</f>
        <v>0</v>
      </c>
      <c r="K29">
        <f>'Kopējā tabula'!K43</f>
        <v>0</v>
      </c>
      <c r="L29">
        <f>'Kopējā tabula'!L43</f>
        <v>0</v>
      </c>
      <c r="M29" s="15">
        <f>'Kopējā tabula'!N43</f>
        <v>0</v>
      </c>
      <c r="N29" s="15">
        <f>'Kopējā tabula'!O43</f>
        <v>0</v>
      </c>
      <c r="O29" s="15">
        <f>'Kopējā tabula'!P43</f>
        <v>0</v>
      </c>
      <c r="P29" s="15" t="str">
        <f>'Kopējā tabula'!Q43</f>
        <v>Nav kvanitificējams</v>
      </c>
      <c r="Q29" s="15">
        <f>'Kopējā tabula'!S43</f>
        <v>0</v>
      </c>
    </row>
    <row r="30" spans="1:17" ht="12.75">
      <c r="A30" t="str">
        <f>'Kopējā tabula'!A44</f>
        <v>6.6.10.</v>
      </c>
      <c r="B30" t="str">
        <f>'Kopējā tabula'!B44</f>
        <v>Pārbaudes nelegālās nodarbinātības novēršanai</v>
      </c>
      <c r="C30" t="str">
        <f>'Kopējā tabula'!C44</f>
        <v>D</v>
      </c>
      <c r="D30">
        <f>'Kopējā tabula'!D44</f>
        <v>0</v>
      </c>
      <c r="E30" t="str">
        <f>'Kopējā tabula'!E44</f>
        <v>Nav ietekmes</v>
      </c>
      <c r="F30">
        <f>'Kopējā tabula'!F44</f>
        <v>0</v>
      </c>
      <c r="G30">
        <f>'Kopējā tabula'!G44</f>
        <v>0</v>
      </c>
      <c r="H30" t="str">
        <f>'Kopējā tabula'!H44</f>
        <v>Nav ietekmes</v>
      </c>
      <c r="I30">
        <f>'Kopējā tabula'!I44</f>
        <v>0</v>
      </c>
      <c r="J30">
        <f>'Kopējā tabula'!J44</f>
        <v>0</v>
      </c>
      <c r="K30">
        <f>'Kopējā tabula'!K44</f>
        <v>0</v>
      </c>
      <c r="L30">
        <f>'Kopējā tabula'!L44</f>
        <v>0</v>
      </c>
      <c r="M30" s="15">
        <f>'Kopējā tabula'!N44</f>
        <v>0</v>
      </c>
      <c r="N30" s="15">
        <f>'Kopējā tabula'!O44</f>
        <v>0</v>
      </c>
      <c r="O30" s="15">
        <f>'Kopējā tabula'!P44</f>
        <v>0</v>
      </c>
      <c r="P30" s="15" t="str">
        <f>'Kopējā tabula'!Q44</f>
        <v>Pieņemot, ka no visām 4996 VDI pārbaudēm par nereģistrēto nodarbinātību, VID atkārtoti pārbauda 10% šos komersantus. Ja veiktu kopā, izmaksu ietaupījums komersantam papildus pārbaudei uz 1 pārbaudi 12h*10 Ls</v>
      </c>
      <c r="Q30" s="15">
        <f>'Kopējā tabula'!S44</f>
        <v>60000</v>
      </c>
    </row>
    <row r="31" spans="1:17" ht="12.75">
      <c r="A31" t="str">
        <f>'Kopējā tabula'!A45</f>
        <v>6.6.11.</v>
      </c>
      <c r="B31" t="str">
        <f>'Kopējā tabula'!B45</f>
        <v>Pārbaužu plānošana Pārtikas un veterinārajā dienestā</v>
      </c>
      <c r="C31" t="str">
        <f>'Kopējā tabula'!C45</f>
        <v>V1</v>
      </c>
      <c r="D31">
        <f>'Kopējā tabula'!D45</f>
        <v>0</v>
      </c>
      <c r="E31" t="str">
        <f>'Kopējā tabula'!E45</f>
        <v>2009.gadā veiktas 26 224 pārbaudes pārtikas uzņēmumos un 223 pārbaudes veterinārās aptiekās.</v>
      </c>
      <c r="F31">
        <f>'Kopējā tabula'!F45</f>
        <v>0</v>
      </c>
      <c r="G31">
        <f>'Kopējā tabula'!G45</f>
        <v>1566939</v>
      </c>
      <c r="H31" t="str">
        <f>'Kopējā tabula'!H45</f>
        <v>Samazinot pārbaužu skaitu, kopējie izdevumi samazinātos par 10%</v>
      </c>
      <c r="I31">
        <f>'Kopējā tabula'!I45</f>
        <v>0</v>
      </c>
      <c r="J31">
        <f>'Kopējā tabula'!J45</f>
        <v>0</v>
      </c>
      <c r="K31">
        <f>'Kopējā tabula'!K45</f>
        <v>0</v>
      </c>
      <c r="L31">
        <f>'Kopējā tabula'!L45</f>
        <v>0</v>
      </c>
      <c r="M31" s="15">
        <f>'Kopējā tabula'!N45</f>
        <v>156700</v>
      </c>
      <c r="N31" s="15">
        <f>'Kopējā tabula'!O45</f>
        <v>0</v>
      </c>
      <c r="O31" s="15">
        <f>'Kopējā tabula'!P45</f>
        <v>0</v>
      </c>
      <c r="P31" s="15" t="str">
        <f>'Kopējā tabula'!Q45</f>
        <v>2009.gadā veiktas 26 224 un 223 pārbaudes, samazinot skaitu par 10%. Izmaksas uz 1 pārbaudi 20h*10 Ls</v>
      </c>
      <c r="Q31" s="15">
        <f>'Kopējā tabula'!S45</f>
        <v>264470.00000000006</v>
      </c>
    </row>
    <row r="32" spans="1:17" ht="12.75">
      <c r="A32" t="str">
        <f>'Kopējā tabula'!A46</f>
        <v>6.6.12.</v>
      </c>
      <c r="B32" t="str">
        <f>'Kopējā tabula'!B46</f>
        <v>Pārbaužu plānošana Valsts vides dienestā</v>
      </c>
      <c r="C32" t="str">
        <f>'Kopējā tabula'!C46</f>
        <v>V1</v>
      </c>
      <c r="D32">
        <f>'Kopējā tabula'!D46</f>
        <v>0</v>
      </c>
      <c r="E32" t="str">
        <f>'Kopējā tabula'!E46</f>
        <v>2009.gadā veiktas 15 780 pārbaudes, kopējās izmaksas 4 131 030 Ls</v>
      </c>
      <c r="F32">
        <f>'Kopējā tabula'!F46</f>
        <v>0</v>
      </c>
      <c r="G32">
        <f>'Kopējā tabula'!G46</f>
        <v>4131030</v>
      </c>
      <c r="H32" t="str">
        <f>'Kopējā tabula'!H46</f>
        <v>Samazinot pārbaužu skaitu, kopējie izdevumi samazinātos par 10%</v>
      </c>
      <c r="I32">
        <f>'Kopējā tabula'!I46</f>
        <v>0</v>
      </c>
      <c r="J32">
        <f>'Kopējā tabula'!J46</f>
        <v>0</v>
      </c>
      <c r="K32">
        <f>'Kopējā tabula'!K46</f>
        <v>0</v>
      </c>
      <c r="L32">
        <f>'Kopējā tabula'!L46</f>
        <v>0</v>
      </c>
      <c r="M32" s="15">
        <f>'Kopējā tabula'!N46</f>
        <v>413100</v>
      </c>
      <c r="N32" s="15">
        <f>'Kopējā tabula'!O46</f>
        <v>0</v>
      </c>
      <c r="O32" s="15">
        <f>'Kopējā tabula'!P46</f>
        <v>0</v>
      </c>
      <c r="P32" s="15" t="str">
        <f>'Kopējā tabula'!Q46</f>
        <v>2009.gadā veiktas 15780 pārbaudes, samazinot skaitu par 10%. Izmaksas uz 1 pārbaudi 16h*5 Ls</v>
      </c>
      <c r="Q32" s="15">
        <f>'Kopējā tabula'!S46</f>
        <v>126240</v>
      </c>
    </row>
    <row r="33" spans="1:17" ht="12.75">
      <c r="A33" t="str">
        <f>'Kopējā tabula'!A47</f>
        <v>6.6.13.</v>
      </c>
      <c r="B33" t="str">
        <f>'Kopējā tabula'!B47</f>
        <v>Uzturu bagātinātāju un veterināro zāļu uzraudzība</v>
      </c>
      <c r="C33" t="str">
        <f>'Kopējā tabula'!C47</f>
        <v>D</v>
      </c>
      <c r="D33">
        <f>'Kopējā tabula'!D47</f>
        <v>0</v>
      </c>
      <c r="E33" t="str">
        <f>'Kopējā tabula'!E47</f>
        <v>Nav kvantificējams, jo nav pieejami konkrēti dati par aptieku skaitu, kuros tirgotu visus 3 produktu veidus un kontorlētu gan PVD, gan VI</v>
      </c>
      <c r="F33">
        <f>'Kopējā tabula'!F47</f>
        <v>0</v>
      </c>
      <c r="G33">
        <f>'Kopējā tabula'!G47</f>
        <v>0</v>
      </c>
      <c r="H33">
        <f>'Kopējā tabula'!H47</f>
        <v>0</v>
      </c>
      <c r="I33">
        <f>'Kopējā tabula'!I47</f>
        <v>0</v>
      </c>
      <c r="J33">
        <f>'Kopējā tabula'!J47</f>
        <v>0</v>
      </c>
      <c r="K33">
        <f>'Kopējā tabula'!K47</f>
        <v>0</v>
      </c>
      <c r="L33">
        <f>'Kopējā tabula'!L47</f>
        <v>0</v>
      </c>
      <c r="M33" s="15">
        <f>'Kopējā tabula'!N47</f>
        <v>0</v>
      </c>
      <c r="N33" s="15">
        <f>'Kopējā tabula'!O47</f>
        <v>0</v>
      </c>
      <c r="O33" s="15">
        <f>'Kopējā tabula'!P47</f>
        <v>0</v>
      </c>
      <c r="P33" s="15" t="str">
        <f>'Kopējā tabula'!Q47</f>
        <v>Nav kvantificējams</v>
      </c>
      <c r="Q33" s="15">
        <f>'Kopējā tabula'!S47</f>
        <v>0</v>
      </c>
    </row>
    <row r="34" spans="1:17" ht="12.75">
      <c r="A34" t="str">
        <f>'Kopējā tabula'!A48</f>
        <v>6.6.14.</v>
      </c>
      <c r="B34" t="str">
        <f>'Kopējā tabula'!B48</f>
        <v>Konsultācijas darba drošībā</v>
      </c>
      <c r="C34" t="str">
        <f>'Kopējā tabula'!C48</f>
        <v>IF</v>
      </c>
      <c r="D34">
        <f>'Kopējā tabula'!D48</f>
        <v>0</v>
      </c>
      <c r="E34" t="str">
        <f>'Kopējā tabula'!E48</f>
        <v>Nav ietekmes</v>
      </c>
      <c r="F34">
        <f>'Kopējā tabula'!F48</f>
        <v>0</v>
      </c>
      <c r="G34">
        <f>'Kopējā tabula'!G48</f>
        <v>0</v>
      </c>
      <c r="H34" t="str">
        <f>'Kopējā tabula'!H48</f>
        <v>Nav ietekmes</v>
      </c>
      <c r="I34">
        <f>'Kopējā tabula'!I48</f>
        <v>0</v>
      </c>
      <c r="J34">
        <f>'Kopējā tabula'!J48</f>
        <v>0</v>
      </c>
      <c r="K34">
        <f>'Kopējā tabula'!K48</f>
        <v>0</v>
      </c>
      <c r="L34">
        <f>'Kopējā tabula'!L48</f>
        <v>0</v>
      </c>
      <c r="M34" s="15">
        <f>'Kopējā tabula'!N48</f>
        <v>0</v>
      </c>
      <c r="N34" s="15">
        <f>'Kopējā tabula'!O48</f>
        <v>0</v>
      </c>
      <c r="O34" s="15">
        <f>'Kopējā tabula'!P48</f>
        <v>0</v>
      </c>
      <c r="P34" s="15" t="str">
        <f>'Kopējā tabula'!Q48</f>
        <v>2009.gadā reģistrēti 9046 jauni komersanti, kuriem jāizpilda darba drošības prasības, 60% izmantotu VDI konsultācijuas, ietaupītās izmaksas 100 Ls</v>
      </c>
      <c r="Q34" s="15">
        <f>'Kopējā tabula'!S48</f>
        <v>542760</v>
      </c>
    </row>
    <row r="35" spans="1:17" ht="12.75">
      <c r="A35" t="str">
        <f>'Kopējā tabula'!A51</f>
        <v>7.1.1.</v>
      </c>
      <c r="B35" t="str">
        <f>'Kopējā tabula'!B51</f>
        <v>Komercreģistra datu pieejamība</v>
      </c>
      <c r="C35" t="str">
        <f>'Kopējā tabula'!C51</f>
        <v>V1</v>
      </c>
      <c r="D35">
        <f>'Kopējā tabula'!D51</f>
        <v>0</v>
      </c>
      <c r="E35" t="str">
        <f>'Kopējā tabula'!E51</f>
        <v>2009.gadā reģistrēti 9043 jauni komersanti</v>
      </c>
      <c r="F35">
        <f>'Kopējā tabula'!F51</f>
        <v>0</v>
      </c>
      <c r="G35">
        <f>'Kopējā tabula'!G51</f>
        <v>0</v>
      </c>
      <c r="H35" t="str">
        <f>'Kopējā tabula'!H51</f>
        <v>9000 jaunu komersantu gadā, apliecības sagatavošana un izdošana 2h (visa reģistrācija 113.76 Ls, t.sk. apliecības sagatavošana un izdošana 10 Ls)</v>
      </c>
      <c r="I35">
        <f>'Kopējā tabula'!I51</f>
        <v>0</v>
      </c>
      <c r="J35">
        <f>'Kopējā tabula'!J51</f>
        <v>90000</v>
      </c>
      <c r="K35">
        <f>'Kopējā tabula'!K51</f>
        <v>0</v>
      </c>
      <c r="L35">
        <f>'Kopējā tabula'!L51</f>
        <v>0</v>
      </c>
      <c r="M35" s="15">
        <f>'Kopējā tabula'!N51</f>
        <v>90000</v>
      </c>
      <c r="N35" s="15">
        <f>'Kopējā tabula'!O51</f>
        <v>0</v>
      </c>
      <c r="O35" s="15">
        <f>'Kopējā tabula'!P51</f>
        <v>0</v>
      </c>
      <c r="P35" s="15" t="str">
        <f>'Kopējā tabula'!Q51</f>
        <v>2000 iestādes, 3 izziņas gadā, 2 Ls par izziņu = 12000, Komersanta reģistrācijas numurs, ne apliecība 9000 jaunu komersantu gadā 2h izņemt apliecību , 5Ls stundā = 90000</v>
      </c>
      <c r="Q35" s="15">
        <f>'Kopējā tabula'!S51</f>
        <v>102000</v>
      </c>
    </row>
    <row r="36" spans="1:17" ht="12.75">
      <c r="A36" t="str">
        <f>'Kopējā tabula'!A52</f>
        <v>7.1.2.</v>
      </c>
      <c r="B36" t="str">
        <f>'Kopējā tabula'!B52</f>
        <v>Informācijas publicēšana „Latvijas Vēstnesī”</v>
      </c>
      <c r="C36" t="str">
        <f>'Kopējā tabula'!C52</f>
        <v>IT</v>
      </c>
      <c r="D36">
        <f>'Kopējā tabula'!D52</f>
        <v>0</v>
      </c>
      <c r="E36" t="str">
        <f>'Kopējā tabula'!E52</f>
        <v>Ārpakalpojums</v>
      </c>
      <c r="F36">
        <f>'Kopējā tabula'!F52</f>
        <v>0</v>
      </c>
      <c r="G36">
        <f>'Kopējā tabula'!G52</f>
        <v>0</v>
      </c>
      <c r="H36">
        <f>'Kopējā tabula'!H52</f>
        <v>0</v>
      </c>
      <c r="I36">
        <f>'Kopējā tabula'!I52</f>
        <v>0</v>
      </c>
      <c r="J36">
        <f>'Kopējā tabula'!J52</f>
        <v>0</v>
      </c>
      <c r="K36">
        <f>'Kopējā tabula'!K52</f>
        <v>0</v>
      </c>
      <c r="L36">
        <f>'Kopējā tabula'!L52</f>
        <v>0</v>
      </c>
      <c r="M36" s="15">
        <f>'Kopējā tabula'!N52</f>
        <v>0</v>
      </c>
      <c r="N36" s="15">
        <f>'Kopējā tabula'!O52</f>
        <v>0</v>
      </c>
      <c r="O36" s="15">
        <f>'Kopējā tabula'!P52</f>
        <v>0</v>
      </c>
      <c r="P36" s="15" t="str">
        <f>'Kopējā tabula'!Q52</f>
        <v>2009.gadā par LV publikacijām komersanti samaksājuši aptuveni 667000 Ls. Nodrošinot UR ar iespēju izvietot informāciju savā mājas lapā izmaksas samazinātos par 50%</v>
      </c>
      <c r="Q36" s="15">
        <f>'Kopējā tabula'!S52</f>
        <v>333500</v>
      </c>
    </row>
    <row r="37" spans="1:17" ht="12.75">
      <c r="A37" t="str">
        <f>'Kopējā tabula'!A53</f>
        <v>7.1.3.</v>
      </c>
      <c r="B37" t="str">
        <f>'Kopējā tabula'!B53</f>
        <v>PVN reģistrācijas procedūra</v>
      </c>
      <c r="C37" t="str">
        <f>'Kopējā tabula'!C53</f>
        <v>V1</v>
      </c>
      <c r="D37">
        <f>'Kopējā tabula'!D53</f>
        <v>0</v>
      </c>
      <c r="E37" t="str">
        <f>'Kopējā tabula'!E53</f>
        <v>2009.gadā izdotas 16217 apliecības. Reģistrācijas procedūra atlīdzība 3.23 Ls uz vienu iesniegumu, admin 3691 Ls kopā 56071.91 Ls</v>
      </c>
      <c r="F37">
        <f>'Kopējā tabula'!F53</f>
        <v>0</v>
      </c>
      <c r="G37">
        <f>'Kopējā tabula'!G53</f>
        <v>56071.909999999996</v>
      </c>
      <c r="H37" t="str">
        <f>'Kopējā tabula'!H53</f>
        <v>Neveicot pirmspārbaudes un neizdodot apliecību, ietaupījums 40%.</v>
      </c>
      <c r="I37">
        <f>'Kopējā tabula'!I53</f>
        <v>0</v>
      </c>
      <c r="J37">
        <f>'Kopējā tabula'!J53</f>
        <v>0</v>
      </c>
      <c r="K37">
        <f>'Kopējā tabula'!K53</f>
        <v>0</v>
      </c>
      <c r="L37">
        <f>'Kopējā tabula'!L53</f>
        <v>0</v>
      </c>
      <c r="M37" s="15">
        <f>'Kopējā tabula'!N53</f>
        <v>0</v>
      </c>
      <c r="N37" s="15">
        <f>'Kopējā tabula'!O53</f>
        <v>0</v>
      </c>
      <c r="O37" s="15">
        <f>'Kopējā tabula'!P53</f>
        <v>0</v>
      </c>
      <c r="P37" s="15" t="str">
        <f>'Kopējā tabula'!Q53</f>
        <v>16000 jauni PVN maksātāji gadā, 2h saņemt apliecību, 5Ls stundā</v>
      </c>
      <c r="Q37" s="15">
        <f>'Kopējā tabula'!S53</f>
        <v>160000</v>
      </c>
    </row>
    <row r="38" spans="1:17" ht="12.75">
      <c r="A38" t="str">
        <f>'Kopējā tabula'!A55</f>
        <v>7.2.1.</v>
      </c>
      <c r="B38" t="str">
        <f>'Kopējā tabula'!B55</f>
        <v>Dabas resursu nodokļa atbrīvojumi par iepakojumu un vienreiz lietojamiem galda traukiem un piederumiem un videi kaitīgām precēm</v>
      </c>
      <c r="C38" t="str">
        <f>'Kopējā tabula'!C55</f>
        <v>M2</v>
      </c>
      <c r="D38">
        <f>'Kopējā tabula'!D55</f>
        <v>0</v>
      </c>
      <c r="E38" t="str">
        <f>'Kopējā tabula'!E55</f>
        <v>2009.gada LVAFA izmaksas visas administrēšanas nodrošināšanai 15924 Ls</v>
      </c>
      <c r="F38">
        <f>'Kopējā tabula'!F55</f>
        <v>0</v>
      </c>
      <c r="G38">
        <f>'Kopējā tabula'!G55</f>
        <v>15923.62</v>
      </c>
      <c r="H38" t="str">
        <f>'Kopējā tabula'!H55</f>
        <v>Atceļot ceturkšņa un pusgada pārskatus, izmaksu ietaupījums 40%, Administratīvie izdevumi 30%</v>
      </c>
      <c r="I38">
        <f>'Kopējā tabula'!I55</f>
        <v>0</v>
      </c>
      <c r="J38">
        <f>'Kopējā tabula'!J55</f>
        <v>6369.448</v>
      </c>
      <c r="K38">
        <f>'Kopējā tabula'!K55</f>
        <v>2729.7634285714284</v>
      </c>
      <c r="L38">
        <f>'Kopējā tabula'!L55</f>
        <v>0</v>
      </c>
      <c r="M38" s="15">
        <f>'Kopējā tabula'!N55</f>
        <v>9100</v>
      </c>
      <c r="N38" s="15">
        <f>'Kopējā tabula'!O55</f>
        <v>0</v>
      </c>
      <c r="O38" s="15">
        <f>'Kopējā tabula'!P55</f>
        <v>0</v>
      </c>
      <c r="P38" s="15" t="str">
        <f>'Kopējā tabula'!Q55</f>
        <v>2009.gadā iesniegtas 150 ceturkšņa atskaites (sagatavošana un iesniegšana 5h*5Ls=25 Ls), 58 pusgada atskaites (sagatavošana un iesniegšana 8h*5Ls=40 Ls)</v>
      </c>
      <c r="Q38" s="15">
        <f>'Kopējā tabula'!S55</f>
        <v>6000</v>
      </c>
    </row>
    <row r="39" spans="1:17" ht="12.75">
      <c r="A39" t="str">
        <f>'Kopējā tabula'!A56</f>
        <v>7.2.2.</v>
      </c>
      <c r="B39" t="str">
        <f>'Kopējā tabula'!B56</f>
        <v>Akcīzes preču uzglabāšana</v>
      </c>
      <c r="C39" t="str">
        <f>'Kopējā tabula'!C56</f>
        <v>M2</v>
      </c>
      <c r="D39">
        <f>'Kopējā tabula'!D56</f>
        <v>0</v>
      </c>
      <c r="E39" t="str">
        <f>'Kopējā tabula'!E56</f>
        <v>Nav tieši kvantificējams</v>
      </c>
      <c r="F39">
        <f>'Kopējā tabula'!F56</f>
        <v>0</v>
      </c>
      <c r="G39">
        <f>'Kopējā tabula'!G56</f>
        <v>0</v>
      </c>
      <c r="H39">
        <f>'Kopējā tabula'!H56</f>
        <v>0</v>
      </c>
      <c r="I39">
        <f>'Kopējā tabula'!I56</f>
        <v>0</v>
      </c>
      <c r="J39">
        <f>'Kopējā tabula'!J56</f>
        <v>0</v>
      </c>
      <c r="K39">
        <f>'Kopējā tabula'!K56</f>
        <v>0</v>
      </c>
      <c r="L39">
        <f>'Kopējā tabula'!L56</f>
        <v>0</v>
      </c>
      <c r="M39" s="15">
        <f>'Kopējā tabula'!N56</f>
        <v>0</v>
      </c>
      <c r="N39" s="15">
        <f>'Kopējā tabula'!O56</f>
        <v>0</v>
      </c>
      <c r="O39" s="15">
        <f>'Kopējā tabula'!P56</f>
        <v>0</v>
      </c>
      <c r="P39" s="15" t="str">
        <f>'Kopējā tabula'!Q56</f>
        <v>Nav tieši kvantificējams</v>
      </c>
      <c r="Q39" s="15">
        <f>'Kopējā tabula'!S56</f>
        <v>0</v>
      </c>
    </row>
    <row r="40" spans="1:17" ht="12.75">
      <c r="A40" t="str">
        <f>'Kopējā tabula'!A57</f>
        <v>7.2.3.</v>
      </c>
      <c r="B40" t="str">
        <f>'Kopējā tabula'!B57</f>
        <v>Akcīzes nodokļa markas</v>
      </c>
      <c r="C40" t="str">
        <f>'Kopējā tabula'!C57</f>
        <v>M2</v>
      </c>
      <c r="D40">
        <f>'Kopējā tabula'!D57</f>
        <v>0</v>
      </c>
      <c r="E40" t="str">
        <f>'Kopējā tabula'!E57</f>
        <v>Nav tieši kvantificējams</v>
      </c>
      <c r="F40">
        <f>'Kopējā tabula'!F57</f>
        <v>0</v>
      </c>
      <c r="G40">
        <f>'Kopējā tabula'!G57</f>
        <v>0</v>
      </c>
      <c r="H40">
        <f>'Kopējā tabula'!H57</f>
        <v>0</v>
      </c>
      <c r="I40">
        <f>'Kopējā tabula'!I57</f>
        <v>0</v>
      </c>
      <c r="J40">
        <f>'Kopējā tabula'!J57</f>
        <v>0</v>
      </c>
      <c r="K40">
        <f>'Kopējā tabula'!K57</f>
        <v>0</v>
      </c>
      <c r="L40">
        <f>'Kopējā tabula'!L57</f>
        <v>0</v>
      </c>
      <c r="M40" s="15">
        <f>'Kopējā tabula'!N57</f>
        <v>0</v>
      </c>
      <c r="N40" s="15">
        <f>'Kopējā tabula'!O57</f>
        <v>0</v>
      </c>
      <c r="O40" s="15">
        <f>'Kopējā tabula'!P57</f>
        <v>0</v>
      </c>
      <c r="P40" s="15" t="str">
        <f>'Kopējā tabula'!Q57</f>
        <v>Nav tieši kvantificējams 5-10% izmaksu ietaupījums</v>
      </c>
      <c r="Q40" s="15">
        <f>'Kopējā tabula'!S57</f>
        <v>0</v>
      </c>
    </row>
    <row r="41" spans="1:17" ht="12.75">
      <c r="A41" t="str">
        <f>'Kopējā tabula'!A58</f>
        <v>7.2.4.</v>
      </c>
      <c r="B41" t="str">
        <f>'Kopējā tabula'!B58</f>
        <v>Pārskati par izlietotiem plombu numuriem</v>
      </c>
      <c r="C41" t="str">
        <f>'Kopējā tabula'!C58</f>
        <v>M2</v>
      </c>
      <c r="D41">
        <f>'Kopējā tabula'!D58</f>
        <v>0</v>
      </c>
      <c r="E41" t="str">
        <f>'Kopējā tabula'!E58</f>
        <v>2009.gadā iesniegti 654 pārskati, t.sk. 454 caur EDS (izmaksas 454*3.23Ls) un 200 papīrā (izmaksas 200*0.25). Admin. Izmaksas 3691 Ls</v>
      </c>
      <c r="F41">
        <f>'Kopējā tabula'!F58</f>
        <v>0</v>
      </c>
      <c r="G41">
        <f>'Kopējā tabula'!G58</f>
        <v>5207.42</v>
      </c>
      <c r="H41" t="str">
        <f>'Kopējā tabula'!H58</f>
        <v>Samazinot pārskatu biežumu uz 1 x ceturksnī (302 pārskati caur EDS, 133 papīrā)</v>
      </c>
      <c r="I41">
        <f>'Kopējā tabula'!I58</f>
        <v>0</v>
      </c>
      <c r="J41">
        <f>'Kopējā tabula'!J58</f>
        <v>1008.71</v>
      </c>
      <c r="K41">
        <f>'Kopējā tabula'!K58</f>
        <v>1218.03</v>
      </c>
      <c r="L41">
        <f>'Kopējā tabula'!L58</f>
        <v>0</v>
      </c>
      <c r="M41" s="15">
        <f>'Kopējā tabula'!N58</f>
        <v>2230</v>
      </c>
      <c r="N41" s="15">
        <f>'Kopējā tabula'!O58</f>
        <v>0</v>
      </c>
      <c r="O41" s="15">
        <f>'Kopējā tabula'!P58</f>
        <v>0</v>
      </c>
      <c r="P41" s="15" t="str">
        <f>'Kopējā tabula'!Q58</f>
        <v>Iesniedzot ceturkšņa pārskatus caurs EDS izmaksas 1h*5Ls, papīrā 3h*5</v>
      </c>
      <c r="Q41" s="15">
        <f>'Kopējā tabula'!S58</f>
        <v>3500</v>
      </c>
    </row>
    <row r="42" spans="1:17" ht="12.75">
      <c r="A42" t="str">
        <f>'Kopējā tabula'!A59</f>
        <v>7.2.5.</v>
      </c>
      <c r="B42" t="str">
        <f>'Kopējā tabula'!B59</f>
        <v>Ārējas revīzijas nepieciešamības sliekšņu palielināšana</v>
      </c>
      <c r="C42" t="str">
        <f>'Kopējā tabula'!C59</f>
        <v>M2</v>
      </c>
      <c r="D42">
        <f>'Kopējā tabula'!D59</f>
        <v>0</v>
      </c>
      <c r="E42" t="str">
        <f>'Kopējā tabula'!E59</f>
        <v>Nav ietekmes</v>
      </c>
      <c r="F42">
        <f>'Kopējā tabula'!F59</f>
        <v>0</v>
      </c>
      <c r="G42">
        <f>'Kopējā tabula'!G59</f>
        <v>0</v>
      </c>
      <c r="H42" t="str">
        <f>'Kopējā tabula'!H59</f>
        <v>Nav ietekmes</v>
      </c>
      <c r="I42">
        <f>'Kopējā tabula'!I59</f>
        <v>0</v>
      </c>
      <c r="J42">
        <f>'Kopējā tabula'!J59</f>
        <v>0</v>
      </c>
      <c r="K42">
        <f>'Kopējā tabula'!K59</f>
        <v>0</v>
      </c>
      <c r="L42">
        <f>'Kopējā tabula'!L59</f>
        <v>0</v>
      </c>
      <c r="M42" s="15">
        <f>'Kopējā tabula'!N59</f>
        <v>0</v>
      </c>
      <c r="N42" s="15">
        <f>'Kopējā tabula'!O59</f>
        <v>0</v>
      </c>
      <c r="O42" s="15">
        <f>'Kopējā tabula'!P59</f>
        <v>0</v>
      </c>
      <c r="P42" s="15" t="str">
        <f>'Kopējā tabula'!Q59</f>
        <v>500 komersantiem nebūtu jāveic revīzija, revīzijas vidējās izmaksas 2000 Ls</v>
      </c>
      <c r="Q42" s="15">
        <f>'Kopējā tabula'!S59</f>
        <v>1000000</v>
      </c>
    </row>
    <row r="43" spans="1:17" ht="12.75">
      <c r="A43" t="str">
        <f>'Kopējā tabula'!A60</f>
        <v>7.2.6.</v>
      </c>
      <c r="B43" t="str">
        <f>'Kopējā tabula'!B60</f>
        <v>Atkarības pārskata lietderība</v>
      </c>
      <c r="C43" t="str">
        <f>'Kopējā tabula'!C60</f>
        <v>M1</v>
      </c>
      <c r="D43">
        <f>'Kopējā tabula'!D60</f>
        <v>0</v>
      </c>
      <c r="E43" t="str">
        <f>'Kopējā tabula'!E60</f>
        <v>Nav dati no institūcijas puses</v>
      </c>
      <c r="F43">
        <f>'Kopējā tabula'!F60</f>
        <v>0</v>
      </c>
      <c r="G43">
        <f>'Kopējā tabula'!G60</f>
        <v>0</v>
      </c>
      <c r="H43">
        <f>'Kopējā tabula'!H60</f>
        <v>0</v>
      </c>
      <c r="I43">
        <f>'Kopējā tabula'!I60</f>
        <v>0</v>
      </c>
      <c r="J43">
        <f>'Kopējā tabula'!J60</f>
        <v>0</v>
      </c>
      <c r="K43">
        <f>'Kopējā tabula'!K60</f>
        <v>0</v>
      </c>
      <c r="L43">
        <f>'Kopējā tabula'!L60</f>
        <v>0</v>
      </c>
      <c r="M43" s="15">
        <f>'Kopējā tabula'!N60</f>
        <v>0</v>
      </c>
      <c r="N43" s="15">
        <f>'Kopējā tabula'!O60</f>
        <v>0</v>
      </c>
      <c r="O43" s="15">
        <f>'Kopējā tabula'!P60</f>
        <v>0</v>
      </c>
      <c r="P43" s="15" t="str">
        <f>'Kopējā tabula'!Q60</f>
        <v>100 komersantiem nav jāgatavo pārskats 700 Ls</v>
      </c>
      <c r="Q43" s="15">
        <f>'Kopējā tabula'!S60</f>
        <v>70000</v>
      </c>
    </row>
    <row r="44" spans="1:17" ht="12.75">
      <c r="A44" t="str">
        <f>'Kopējā tabula'!A61</f>
        <v>7.2.7.</v>
      </c>
      <c r="B44" t="str">
        <f>'Kopējā tabula'!B61</f>
        <v>Reklāmu un izkārtņu izvietošanas saskaņošana</v>
      </c>
      <c r="C44" t="str">
        <f>'Kopējā tabula'!C61</f>
        <v>M2</v>
      </c>
      <c r="D44">
        <f>'Kopējā tabula'!D61</f>
        <v>0</v>
      </c>
      <c r="E44" t="str">
        <f>'Kopējā tabula'!E61</f>
        <v>Dati pieejami par 5 pašvaldībām (skat. detalizēto aprēķinu)</v>
      </c>
      <c r="F44">
        <f>'Kopējā tabula'!F61</f>
        <v>0</v>
      </c>
      <c r="G44">
        <f>'Kopējā tabula'!G61</f>
        <v>0</v>
      </c>
      <c r="H44" t="str">
        <f>'Kopējā tabula'!H61</f>
        <v>Ja atceļ saskaņojumu kopā reklāmas 7040, izkārtnes 5930, kas nav jāsaskaņo, izmaksas dažāda lieluma pašvaldībās dažādas, admin +10%</v>
      </c>
      <c r="I44">
        <f>'Kopējā tabula'!I61</f>
        <v>0</v>
      </c>
      <c r="J44">
        <f>'Kopējā tabula'!J61</f>
        <v>317400</v>
      </c>
      <c r="K44">
        <f>'Kopējā tabula'!K61</f>
        <v>31740</v>
      </c>
      <c r="L44">
        <f>'Kopējā tabula'!L61</f>
        <v>0</v>
      </c>
      <c r="M44" s="15">
        <f>'Kopējā tabula'!N61</f>
        <v>349140</v>
      </c>
      <c r="N44" s="15">
        <f>'Kopējā tabula'!O61</f>
        <v>0</v>
      </c>
      <c r="O44" s="15">
        <f>'Kopējā tabula'!P61</f>
        <v>0</v>
      </c>
      <c r="P44" s="15" t="str">
        <f>'Kopējā tabula'!Q61</f>
        <v>Ja atceļ saskaņojumu, nodevas mazāk 164 900, saskaņošanas izdevumi 103760</v>
      </c>
      <c r="Q44" s="15">
        <f>'Kopējā tabula'!S61</f>
        <v>1202500</v>
      </c>
    </row>
    <row r="45" spans="1:17" ht="12.75">
      <c r="A45" t="str">
        <f>'Kopējā tabula'!A62</f>
        <v>7.2.8.</v>
      </c>
      <c r="B45" t="str">
        <f>'Kopējā tabula'!B62</f>
        <v>Darba aizsardzības prasības</v>
      </c>
      <c r="C45" t="str">
        <f>'Kopējā tabula'!C62</f>
        <v>M2</v>
      </c>
      <c r="D45">
        <f>'Kopējā tabula'!D62</f>
        <v>0</v>
      </c>
      <c r="E45" t="str">
        <f>'Kopējā tabula'!E62</f>
        <v>Nav ietekmes</v>
      </c>
      <c r="F45">
        <f>'Kopējā tabula'!F62</f>
        <v>0</v>
      </c>
      <c r="G45">
        <f>'Kopējā tabula'!G62</f>
        <v>0</v>
      </c>
      <c r="H45" t="str">
        <f>'Kopējā tabula'!H62</f>
        <v>Nav ietekmes</v>
      </c>
      <c r="I45">
        <f>'Kopējā tabula'!I62</f>
        <v>0</v>
      </c>
      <c r="J45">
        <f>'Kopējā tabula'!J62</f>
        <v>0</v>
      </c>
      <c r="K45">
        <f>'Kopējā tabula'!K62</f>
        <v>0</v>
      </c>
      <c r="L45">
        <f>'Kopējā tabula'!L62</f>
        <v>0</v>
      </c>
      <c r="M45" s="15">
        <f>'Kopējā tabula'!N62</f>
        <v>0</v>
      </c>
      <c r="N45" s="15">
        <f>'Kopējā tabula'!O62</f>
        <v>0</v>
      </c>
      <c r="O45" s="15">
        <f>'Kopējā tabula'!P62</f>
        <v>0</v>
      </c>
      <c r="P45" s="15" t="str">
        <f>'Kopējā tabula'!Q62</f>
        <v>9000 jauni komersanti gadā, izmaksu samazinājums no jauna veidojot prasību ievērošanas sistēmu 200 Ls, 20000 komersantiem darba drošības prasību regulāro izmaksu samazinājums 50 Ls gadā</v>
      </c>
      <c r="Q45" s="15">
        <f>'Kopējā tabula'!S62</f>
        <v>2800000</v>
      </c>
    </row>
    <row r="46" spans="1:17" ht="12.75">
      <c r="A46" t="str">
        <f>'Kopējā tabula'!A63</f>
        <v>7.2.9.</v>
      </c>
      <c r="B46" t="str">
        <f>'Kopējā tabula'!B63</f>
        <v>Ugunsdrošības prasību pielāgošana starptautiskai praksei</v>
      </c>
      <c r="C46" t="str">
        <f>'Kopējā tabula'!C63</f>
        <v>M2</v>
      </c>
      <c r="D46">
        <f>'Kopējā tabula'!D63</f>
        <v>0</v>
      </c>
      <c r="E46" t="str">
        <f>'Kopējā tabula'!E63</f>
        <v>Nav ietekmes</v>
      </c>
      <c r="F46">
        <f>'Kopējā tabula'!F63</f>
        <v>0</v>
      </c>
      <c r="G46">
        <f>'Kopējā tabula'!G63</f>
        <v>0</v>
      </c>
      <c r="H46" t="str">
        <f>'Kopējā tabula'!H63</f>
        <v>Nav ietekmes</v>
      </c>
      <c r="I46">
        <f>'Kopējā tabula'!I63</f>
        <v>0</v>
      </c>
      <c r="J46">
        <f>'Kopējā tabula'!J63</f>
        <v>0</v>
      </c>
      <c r="K46">
        <f>'Kopējā tabula'!K63</f>
        <v>0</v>
      </c>
      <c r="L46">
        <f>'Kopējā tabula'!L63</f>
        <v>0</v>
      </c>
      <c r="M46" s="15">
        <f>'Kopējā tabula'!N63</f>
        <v>0</v>
      </c>
      <c r="N46" s="15">
        <f>'Kopējā tabula'!O63</f>
        <v>0</v>
      </c>
      <c r="O46" s="15">
        <f>'Kopējā tabula'!P63</f>
        <v>0</v>
      </c>
      <c r="P46" s="15" t="str">
        <f>'Kopējā tabula'!Q63</f>
        <v>Papildus analīze</v>
      </c>
      <c r="Q46" s="15">
        <f>'Kopējā tabula'!S63</f>
        <v>0</v>
      </c>
    </row>
    <row r="47" spans="1:17" ht="12.75">
      <c r="A47" t="str">
        <f>'Kopējā tabula'!A64</f>
        <v>7.2.10.</v>
      </c>
      <c r="B47" t="str">
        <f>'Kopējā tabula'!B64</f>
        <v>Atsevišķu ugunsdrošības prasību atcelšana</v>
      </c>
      <c r="C47" t="str">
        <f>'Kopējā tabula'!C64</f>
        <v>M1</v>
      </c>
      <c r="D47">
        <f>'Kopējā tabula'!D64</f>
        <v>0</v>
      </c>
      <c r="E47" t="str">
        <f>'Kopējā tabula'!E64</f>
        <v>Nav ietekmes</v>
      </c>
      <c r="F47">
        <f>'Kopējā tabula'!F64</f>
        <v>0</v>
      </c>
      <c r="G47">
        <f>'Kopējā tabula'!G64</f>
        <v>0</v>
      </c>
      <c r="H47" t="str">
        <f>'Kopējā tabula'!H64</f>
        <v>Nav ietekmes</v>
      </c>
      <c r="I47">
        <f>'Kopējā tabula'!I64</f>
        <v>0</v>
      </c>
      <c r="J47">
        <f>'Kopējā tabula'!J64</f>
        <v>0</v>
      </c>
      <c r="K47">
        <f>'Kopējā tabula'!K64</f>
        <v>0</v>
      </c>
      <c r="L47">
        <f>'Kopējā tabula'!L64</f>
        <v>0</v>
      </c>
      <c r="M47" s="15">
        <f>'Kopējā tabula'!N64</f>
        <v>0</v>
      </c>
      <c r="N47" s="15">
        <f>'Kopējā tabula'!O64</f>
        <v>0</v>
      </c>
      <c r="O47" s="15">
        <f>'Kopējā tabula'!P64</f>
        <v>0</v>
      </c>
      <c r="P47" s="15" t="str">
        <f>'Kopējā tabula'!Q64</f>
        <v>Papildus analīze</v>
      </c>
      <c r="Q47" s="15">
        <f>'Kopējā tabula'!S64</f>
        <v>0</v>
      </c>
    </row>
    <row r="48" spans="1:17" ht="12.75">
      <c r="A48" t="str">
        <f>'Kopējā tabula'!A65</f>
        <v>7.2.11.</v>
      </c>
      <c r="B48" t="str">
        <f>'Kopējā tabula'!B65</f>
        <v>Ugunsdzēsības aparātu uzturēšanas prasību atvieglošana</v>
      </c>
      <c r="C48" t="str">
        <f>'Kopējā tabula'!C65</f>
        <v>M2</v>
      </c>
      <c r="D48">
        <f>'Kopējā tabula'!D65</f>
        <v>0</v>
      </c>
      <c r="E48" t="str">
        <f>'Kopējā tabula'!E65</f>
        <v>Nav ietekmes</v>
      </c>
      <c r="F48">
        <f>'Kopējā tabula'!F65</f>
        <v>0</v>
      </c>
      <c r="G48">
        <f>'Kopējā tabula'!G65</f>
        <v>0</v>
      </c>
      <c r="H48" t="str">
        <f>'Kopējā tabula'!H65</f>
        <v>Nav ietekmes</v>
      </c>
      <c r="I48">
        <f>'Kopējā tabula'!I65</f>
        <v>0</v>
      </c>
      <c r="J48">
        <f>'Kopējā tabula'!J65</f>
        <v>0</v>
      </c>
      <c r="K48">
        <f>'Kopējā tabula'!K65</f>
        <v>0</v>
      </c>
      <c r="L48">
        <f>'Kopējā tabula'!L65</f>
        <v>0</v>
      </c>
      <c r="M48" s="15">
        <f>'Kopējā tabula'!N65</f>
        <v>0</v>
      </c>
      <c r="N48" s="15">
        <f>'Kopējā tabula'!O65</f>
        <v>0</v>
      </c>
      <c r="O48" s="15">
        <f>'Kopējā tabula'!P65</f>
        <v>0</v>
      </c>
      <c r="P48" s="15" t="str">
        <f>'Kopējā tabula'!Q65</f>
        <v>Papildus analīze</v>
      </c>
      <c r="Q48" s="15">
        <f>'Kopējā tabula'!S65</f>
        <v>0</v>
      </c>
    </row>
    <row r="49" spans="1:17" ht="12.75">
      <c r="A49" t="str">
        <f>'Kopējā tabula'!A66</f>
        <v>7.2.12.</v>
      </c>
      <c r="B49" t="str">
        <f>'Kopējā tabula'!B66</f>
        <v>Par ugunsdrošību atbildīgās personas norīkošana</v>
      </c>
      <c r="C49" t="str">
        <f>'Kopējā tabula'!C66</f>
        <v>M2</v>
      </c>
      <c r="D49">
        <f>'Kopējā tabula'!D66</f>
        <v>0</v>
      </c>
      <c r="E49" t="str">
        <f>'Kopējā tabula'!E66</f>
        <v>Nav ietekmes</v>
      </c>
      <c r="F49">
        <f>'Kopējā tabula'!F66</f>
        <v>0</v>
      </c>
      <c r="G49">
        <f>'Kopējā tabula'!G66</f>
        <v>0</v>
      </c>
      <c r="H49" t="str">
        <f>'Kopējā tabula'!H66</f>
        <v>Nav ietekmes</v>
      </c>
      <c r="I49">
        <f>'Kopējā tabula'!I66</f>
        <v>0</v>
      </c>
      <c r="J49">
        <f>'Kopējā tabula'!J66</f>
        <v>0</v>
      </c>
      <c r="K49">
        <f>'Kopējā tabula'!K66</f>
        <v>0</v>
      </c>
      <c r="L49">
        <f>'Kopējā tabula'!L66</f>
        <v>0</v>
      </c>
      <c r="M49" s="15">
        <f>'Kopējā tabula'!N66</f>
        <v>0</v>
      </c>
      <c r="N49" s="15">
        <f>'Kopējā tabula'!O66</f>
        <v>0</v>
      </c>
      <c r="O49" s="15">
        <f>'Kopējā tabula'!P66</f>
        <v>0</v>
      </c>
      <c r="P49" s="15" t="str">
        <f>'Kopējā tabula'!Q66</f>
        <v>9000 jauni komersanti gadā, paaugstināta riska 100 gadā, izmaksu samazinājums 300 Ls</v>
      </c>
      <c r="Q49" s="15">
        <f>'Kopējā tabula'!S66</f>
        <v>30000</v>
      </c>
    </row>
    <row r="50" spans="1:17" ht="12.75">
      <c r="A50" t="str">
        <f>'Kopējā tabula'!A67</f>
        <v>7.2.13.</v>
      </c>
      <c r="B50" t="str">
        <f>'Kopējā tabula'!B67</f>
        <v>VUGD izstrādātas vadlīnijas vai konsultācijas ugunsdrošībai – it īpaši kultūras pieminekļos, kur nav iespējams nodrošināt visu prasību izpildi</v>
      </c>
      <c r="C50" t="str">
        <f>'Kopējā tabula'!C67</f>
        <v>IF</v>
      </c>
      <c r="D50">
        <f>'Kopējā tabula'!D67</f>
        <v>0</v>
      </c>
      <c r="E50" t="str">
        <f>'Kopējā tabula'!E67</f>
        <v>Nav ietekmes</v>
      </c>
      <c r="F50">
        <f>'Kopējā tabula'!F67</f>
        <v>0</v>
      </c>
      <c r="G50">
        <f>'Kopējā tabula'!G67</f>
        <v>0</v>
      </c>
      <c r="H50" t="str">
        <f>'Kopējā tabula'!H67</f>
        <v>Nav ietekmes</v>
      </c>
      <c r="I50">
        <f>'Kopējā tabula'!I67</f>
        <v>0</v>
      </c>
      <c r="J50">
        <f>'Kopējā tabula'!J67</f>
        <v>0</v>
      </c>
      <c r="K50">
        <f>'Kopējā tabula'!K67</f>
        <v>0</v>
      </c>
      <c r="L50">
        <f>'Kopējā tabula'!L67</f>
        <v>0</v>
      </c>
      <c r="M50" s="15">
        <f>'Kopējā tabula'!N67</f>
        <v>0</v>
      </c>
      <c r="N50" s="15">
        <f>'Kopējā tabula'!O67</f>
        <v>0</v>
      </c>
      <c r="O50" s="15">
        <f>'Kopējā tabula'!P67</f>
        <v>0</v>
      </c>
      <c r="P50" s="15" t="str">
        <f>'Kopējā tabula'!Q67</f>
        <v>Nav datu aprēķina veikšanai</v>
      </c>
      <c r="Q50" s="15">
        <f>'Kopējā tabula'!S67</f>
        <v>0</v>
      </c>
    </row>
    <row r="51" spans="1:17" ht="12.75">
      <c r="A51" t="str">
        <f>'Kopējā tabula'!A68</f>
        <v>7.2.14.</v>
      </c>
      <c r="B51" t="str">
        <f>'Kopējā tabula'!B68</f>
        <v>Preču marķēšana</v>
      </c>
      <c r="C51" t="str">
        <f>'Kopējā tabula'!C68</f>
        <v>M2</v>
      </c>
      <c r="D51">
        <f>'Kopējā tabula'!D68</f>
        <v>0</v>
      </c>
      <c r="E51" t="str">
        <f>'Kopējā tabula'!E68</f>
        <v>Nav ietekmes</v>
      </c>
      <c r="F51">
        <f>'Kopējā tabula'!F68</f>
        <v>0</v>
      </c>
      <c r="G51">
        <f>'Kopējā tabula'!G68</f>
        <v>0</v>
      </c>
      <c r="H51" t="str">
        <f>'Kopējā tabula'!H68</f>
        <v>Nav ietekmes</v>
      </c>
      <c r="I51">
        <f>'Kopējā tabula'!I68</f>
        <v>0</v>
      </c>
      <c r="J51">
        <f>'Kopējā tabula'!J68</f>
        <v>0</v>
      </c>
      <c r="K51">
        <f>'Kopējā tabula'!K68</f>
        <v>0</v>
      </c>
      <c r="L51">
        <f>'Kopējā tabula'!L68</f>
        <v>0</v>
      </c>
      <c r="M51" s="15">
        <f>'Kopējā tabula'!N68</f>
        <v>0</v>
      </c>
      <c r="N51" s="15">
        <f>'Kopējā tabula'!O68</f>
        <v>0</v>
      </c>
      <c r="O51" s="15">
        <f>'Kopējā tabula'!P68</f>
        <v>0</v>
      </c>
      <c r="P51" s="15" t="str">
        <f>'Kopējā tabula'!Q68</f>
        <v>Nav tiešas ietekmes</v>
      </c>
      <c r="Q51" s="15">
        <f>'Kopējā tabula'!S68</f>
        <v>0</v>
      </c>
    </row>
    <row r="52" spans="1:17" ht="12.75">
      <c r="A52" t="str">
        <f>'Kopējā tabula'!A69</f>
        <v>7.2.15.</v>
      </c>
      <c r="B52" t="str">
        <f>'Kopējā tabula'!B69</f>
        <v>Civilās aizsardzības plāni</v>
      </c>
      <c r="C52" t="str">
        <f>'Kopējā tabula'!C69</f>
        <v>IF</v>
      </c>
      <c r="D52">
        <f>'Kopējā tabula'!D69</f>
        <v>0</v>
      </c>
      <c r="E52" t="str">
        <f>'Kopējā tabula'!E69</f>
        <v>Nav ietekmes</v>
      </c>
      <c r="F52">
        <f>'Kopējā tabula'!F69</f>
        <v>0</v>
      </c>
      <c r="G52">
        <f>'Kopējā tabula'!G69</f>
        <v>0</v>
      </c>
      <c r="H52" t="str">
        <f>'Kopējā tabula'!H69</f>
        <v>Nav ietekmes</v>
      </c>
      <c r="I52">
        <f>'Kopējā tabula'!I69</f>
        <v>0</v>
      </c>
      <c r="J52">
        <f>'Kopējā tabula'!J69</f>
        <v>0</v>
      </c>
      <c r="K52">
        <f>'Kopējā tabula'!K69</f>
        <v>0</v>
      </c>
      <c r="L52">
        <f>'Kopējā tabula'!L69</f>
        <v>0</v>
      </c>
      <c r="M52" s="15">
        <f>'Kopējā tabula'!N69</f>
        <v>0</v>
      </c>
      <c r="N52" s="15">
        <f>'Kopējā tabula'!O69</f>
        <v>0</v>
      </c>
      <c r="O52" s="15">
        <f>'Kopējā tabula'!P69</f>
        <v>0</v>
      </c>
      <c r="P52" s="15" t="str">
        <f>'Kopējā tabula'!Q69</f>
        <v>9000 jauni komersanti gadā, 1000 uzņēmumiem izmaksu samazinājums par 300 Ls</v>
      </c>
      <c r="Q52" s="15">
        <f>'Kopējā tabula'!S69</f>
        <v>300000</v>
      </c>
    </row>
    <row r="53" spans="1:17" ht="12.75">
      <c r="A53" t="str">
        <f>'Kopējā tabula'!A70</f>
        <v>7.2.16.</v>
      </c>
      <c r="B53" t="str">
        <f>'Kopējā tabula'!B70</f>
        <v>Preču paraugu izņemšana pārbaudēm</v>
      </c>
      <c r="C53" t="str">
        <f>'Kopējā tabula'!C70</f>
        <v>M2</v>
      </c>
      <c r="D53">
        <f>'Kopējā tabula'!D70</f>
        <v>0</v>
      </c>
      <c r="E53" t="str">
        <f>'Kopējā tabula'!E70</f>
        <v>Nav preču vērtības aprēķina veikšanai</v>
      </c>
      <c r="F53">
        <f>'Kopējā tabula'!F70</f>
        <v>0</v>
      </c>
      <c r="G53">
        <f>'Kopējā tabula'!G70</f>
        <v>0</v>
      </c>
      <c r="H53">
        <f>'Kopējā tabula'!H70</f>
        <v>0</v>
      </c>
      <c r="I53">
        <f>'Kopējā tabula'!I70</f>
        <v>0</v>
      </c>
      <c r="J53">
        <f>'Kopējā tabula'!J70</f>
        <v>0</v>
      </c>
      <c r="K53">
        <f>'Kopējā tabula'!K70</f>
        <v>0</v>
      </c>
      <c r="L53">
        <f>'Kopējā tabula'!L70</f>
        <v>0</v>
      </c>
      <c r="M53" s="15">
        <f>'Kopējā tabula'!N70</f>
        <v>0</v>
      </c>
      <c r="N53" s="15">
        <f>'Kopējā tabula'!O70</f>
        <v>0</v>
      </c>
      <c r="O53" s="15">
        <f>'Kopējā tabula'!P70</f>
        <v>0</v>
      </c>
      <c r="P53" s="15">
        <f>'Kopējā tabula'!Q70</f>
        <v>0</v>
      </c>
      <c r="Q53" s="15">
        <f>'Kopējā tabula'!S70</f>
        <v>0</v>
      </c>
    </row>
    <row r="54" spans="1:17" ht="12.75">
      <c r="A54" t="str">
        <f>'Kopējā tabula'!A71</f>
        <v>7.2.17.</v>
      </c>
      <c r="B54" t="str">
        <f>'Kopējā tabula'!B71</f>
        <v>Atļauja degvielas izmantošanai apkurei</v>
      </c>
      <c r="C54" t="str">
        <f>'Kopējā tabula'!C71</f>
        <v>IT</v>
      </c>
      <c r="D54">
        <f>'Kopējā tabula'!D71</f>
        <v>0</v>
      </c>
      <c r="E54" t="str">
        <f>'Kopējā tabula'!E71</f>
        <v>147 izziņas pārreģistrētas 2009.gadā, 9.65 Ls vienai darbībai</v>
      </c>
      <c r="F54">
        <f>'Kopējā tabula'!F71</f>
        <v>0</v>
      </c>
      <c r="G54">
        <f>'Kopējā tabula'!G71</f>
        <v>1418.55</v>
      </c>
      <c r="H54" t="str">
        <f>'Kopējā tabula'!H71</f>
        <v>Nodrošinot veidlapu elektroniski, izmaksu samazinājums 50%</v>
      </c>
      <c r="I54">
        <f>'Kopējā tabula'!I71</f>
        <v>0</v>
      </c>
      <c r="J54">
        <f>'Kopējā tabula'!J71</f>
        <v>709.275</v>
      </c>
      <c r="K54">
        <f>'Kopējā tabula'!K71</f>
        <v>0</v>
      </c>
      <c r="L54">
        <f>'Kopējā tabula'!L71</f>
        <v>0</v>
      </c>
      <c r="M54" s="15">
        <f>'Kopējā tabula'!N71</f>
        <v>710</v>
      </c>
      <c r="N54" s="15">
        <f>'Kopējā tabula'!O71</f>
        <v>0</v>
      </c>
      <c r="O54" s="15">
        <f>'Kopējā tabula'!P71</f>
        <v>0</v>
      </c>
      <c r="P54" s="15" t="str">
        <f>'Kopējā tabula'!Q71</f>
        <v>147 reizes gadā, izmaksas pieprasīšanai un saņemšanai 5h*5 ls</v>
      </c>
      <c r="Q54" s="15">
        <f>'Kopējā tabula'!S71</f>
        <v>3700</v>
      </c>
    </row>
    <row r="55" spans="1:17" ht="12.75">
      <c r="A55" t="str">
        <f>'Kopējā tabula'!A72</f>
        <v>7.2.18.</v>
      </c>
      <c r="B55" t="str">
        <f>'Kopējā tabula'!B72</f>
        <v>Dzeramā ūdens monitorings</v>
      </c>
      <c r="C55" t="str">
        <f>'Kopējā tabula'!C72</f>
        <v>M2</v>
      </c>
      <c r="D55">
        <f>'Kopējā tabula'!D72</f>
        <v>0</v>
      </c>
      <c r="E55" t="str">
        <f>'Kopējā tabula'!E72</f>
        <v>Nav ietekmes</v>
      </c>
      <c r="F55">
        <f>'Kopējā tabula'!F72</f>
        <v>0</v>
      </c>
      <c r="G55">
        <f>'Kopējā tabula'!G72</f>
        <v>0</v>
      </c>
      <c r="H55" t="str">
        <f>'Kopējā tabula'!H72</f>
        <v>Nav ietekmes</v>
      </c>
      <c r="I55">
        <f>'Kopējā tabula'!I72</f>
        <v>0</v>
      </c>
      <c r="J55">
        <f>'Kopējā tabula'!J72</f>
        <v>0</v>
      </c>
      <c r="K55">
        <f>'Kopējā tabula'!K72</f>
        <v>0</v>
      </c>
      <c r="L55">
        <f>'Kopējā tabula'!L72</f>
        <v>0</v>
      </c>
      <c r="M55" s="15">
        <f>'Kopējā tabula'!N72</f>
        <v>0</v>
      </c>
      <c r="N55" s="15">
        <f>'Kopējā tabula'!O72</f>
        <v>0</v>
      </c>
      <c r="O55" s="15">
        <f>'Kopējā tabula'!P72</f>
        <v>0</v>
      </c>
      <c r="P55" s="15" t="str">
        <f>'Kopējā tabula'!Q72</f>
        <v>2000 uzņēmumi, izmaksu samazinājums katram 50 Ls</v>
      </c>
      <c r="Q55" s="15">
        <f>'Kopējā tabula'!S72</f>
        <v>100000</v>
      </c>
    </row>
    <row r="56" spans="1:17" ht="13.5" customHeight="1">
      <c r="A56" t="str">
        <f>'Kopējā tabula'!A73</f>
        <v>7.2.19.</v>
      </c>
      <c r="B56" t="str">
        <f>'Kopējā tabula'!B73</f>
        <v>Spirta iegāde un uzskaite</v>
      </c>
      <c r="C56" t="str">
        <f>'Kopējā tabula'!C73</f>
        <v>M2</v>
      </c>
      <c r="D56">
        <f>'Kopējā tabula'!D73</f>
        <v>0</v>
      </c>
      <c r="E56">
        <f>'Kopējā tabula'!E73</f>
        <v>0</v>
      </c>
      <c r="F56">
        <f>'Kopējā tabula'!F73</f>
        <v>0</v>
      </c>
      <c r="G56">
        <f>'Kopējā tabula'!G73</f>
        <v>0</v>
      </c>
      <c r="H56" t="str">
        <f>'Kopējā tabula'!H73</f>
        <v>100 uzņēmumiem nevajag licenci, 9.65 Ls uz 1 darbību</v>
      </c>
      <c r="I56">
        <f>'Kopējā tabula'!I73</f>
        <v>0</v>
      </c>
      <c r="J56">
        <f>'Kopējā tabula'!J73</f>
        <v>965</v>
      </c>
      <c r="K56">
        <f>'Kopējā tabula'!K73</f>
        <v>0</v>
      </c>
      <c r="L56">
        <f>'Kopējā tabula'!L73</f>
        <v>0</v>
      </c>
      <c r="M56" s="15">
        <f>'Kopējā tabula'!N73</f>
        <v>965</v>
      </c>
      <c r="N56" s="15">
        <f>'Kopējā tabula'!O73</f>
        <v>0</v>
      </c>
      <c r="O56" s="15">
        <f>'Kopējā tabula'!P73</f>
        <v>0</v>
      </c>
      <c r="P56" s="15" t="str">
        <f>'Kopējā tabula'!Q73</f>
        <v>1000 uzņēmumi, pašreiz izmaksas 700 Ls gadā uzskaitei un inventarizācijai, 100 uzņēmumi 50 Ls licences saņemšanai (ieskaitot da), samazinājums 70% gadā</v>
      </c>
      <c r="Q56" s="15">
        <f>'Kopējā tabula'!S73</f>
        <v>494999.99999999994</v>
      </c>
    </row>
    <row r="57" spans="1:17" ht="12.75">
      <c r="A57" t="str">
        <f>'Kopējā tabula'!A76</f>
        <v>8.1.1.</v>
      </c>
      <c r="B57" t="str">
        <f>'Kopējā tabula'!B76</f>
        <v>Darbinieku kvalifikācija pārtikas uzņēmumā</v>
      </c>
      <c r="C57" t="str">
        <f>'Kopējā tabula'!C76</f>
        <v>M2</v>
      </c>
      <c r="D57">
        <f>'Kopējā tabula'!D76</f>
        <v>0</v>
      </c>
      <c r="E57" t="str">
        <f>'Kopējā tabula'!E76</f>
        <v>Nav ietekmes</v>
      </c>
      <c r="F57">
        <f>'Kopējā tabula'!F76</f>
        <v>0</v>
      </c>
      <c r="G57">
        <f>'Kopējā tabula'!G76</f>
        <v>0</v>
      </c>
      <c r="H57" t="str">
        <f>'Kopējā tabula'!H76</f>
        <v>Nav ietekmes</v>
      </c>
      <c r="I57">
        <f>'Kopējā tabula'!I76</f>
        <v>0</v>
      </c>
      <c r="J57">
        <f>'Kopējā tabula'!J76</f>
        <v>0</v>
      </c>
      <c r="K57">
        <f>'Kopējā tabula'!K76</f>
        <v>0</v>
      </c>
      <c r="L57">
        <f>'Kopējā tabula'!L76</f>
        <v>0</v>
      </c>
      <c r="M57" s="15">
        <f>'Kopējā tabula'!N76</f>
        <v>0</v>
      </c>
      <c r="N57" s="15">
        <f>'Kopējā tabula'!O76</f>
        <v>0</v>
      </c>
      <c r="O57" s="15">
        <f>'Kopējā tabula'!P76</f>
        <v>0</v>
      </c>
      <c r="P57" s="15" t="str">
        <f>'Kopējā tabula'!Q76</f>
        <v>Nav ietekmes</v>
      </c>
      <c r="Q57" s="15">
        <f>'Kopējā tabula'!S76</f>
        <v>0</v>
      </c>
    </row>
    <row r="58" spans="1:17" ht="12.75">
      <c r="A58" t="str">
        <f>'Kopējā tabula'!A77</f>
        <v>8.1.2.</v>
      </c>
      <c r="B58" t="str">
        <f>'Kopējā tabula'!B77</f>
        <v>Lauksaimniecības produktu ražošanas un patēriņa bilances iesniegšanas minimālā sliekšņa noteikšana</v>
      </c>
      <c r="C58" t="str">
        <f>'Kopējā tabula'!C77</f>
        <v>M2</v>
      </c>
      <c r="D58">
        <f>'Kopējā tabula'!D77</f>
        <v>0</v>
      </c>
      <c r="E58" t="str">
        <f>'Kopējā tabula'!E77</f>
        <v>7815 Ls 2009.gadā tērēti info iegūšanai un apstrādei</v>
      </c>
      <c r="F58">
        <f>'Kopējā tabula'!F77</f>
        <v>0</v>
      </c>
      <c r="G58">
        <f>'Kopējā tabula'!G77</f>
        <v>7815</v>
      </c>
      <c r="H58" t="str">
        <f>'Kopējā tabula'!H77</f>
        <v>Samazinot iesniedzēju loku, ietaupījums 20%, 30%admin</v>
      </c>
      <c r="I58">
        <f>'Kopējā tabula'!I77</f>
        <v>0</v>
      </c>
      <c r="J58">
        <f>'Kopējā tabula'!J77</f>
        <v>1563</v>
      </c>
      <c r="K58">
        <f>'Kopējā tabula'!K77</f>
        <v>669.8571428571429</v>
      </c>
      <c r="L58">
        <f>'Kopējā tabula'!L77</f>
        <v>0</v>
      </c>
      <c r="M58" s="15">
        <f>'Kopējā tabula'!N77</f>
        <v>2230</v>
      </c>
      <c r="N58" s="15">
        <f>'Kopējā tabula'!O77</f>
        <v>0</v>
      </c>
      <c r="O58" s="15">
        <f>'Kopējā tabula'!P77</f>
        <v>0</v>
      </c>
      <c r="P58" s="15" t="str">
        <f>'Kopējā tabula'!Q77</f>
        <v>203 pārskati, 20% netiks iesniegti izmaksas 2h*5Ls</v>
      </c>
      <c r="Q58" s="15">
        <f>'Kopējā tabula'!S77</f>
        <v>400</v>
      </c>
    </row>
    <row r="59" spans="1:17" ht="12.75">
      <c r="A59" t="str">
        <f>'Kopējā tabula'!A79</f>
        <v>8.3.1.</v>
      </c>
      <c r="B59" t="str">
        <f>'Kopējā tabula'!B79</f>
        <v>Pārtikas preču marķējuma nodrošināšana</v>
      </c>
      <c r="C59" t="str">
        <f>'Kopējā tabula'!C79</f>
        <v>M2</v>
      </c>
      <c r="D59">
        <f>'Kopējā tabula'!D79</f>
        <v>0</v>
      </c>
      <c r="E59" t="str">
        <f>'Kopējā tabula'!E79</f>
        <v>Nav datu</v>
      </c>
      <c r="F59">
        <f>'Kopējā tabula'!F79</f>
        <v>0</v>
      </c>
      <c r="G59">
        <f>'Kopējā tabula'!G79</f>
        <v>0</v>
      </c>
      <c r="H59">
        <f>'Kopējā tabula'!H79</f>
        <v>0</v>
      </c>
      <c r="I59">
        <f>'Kopējā tabula'!I79</f>
        <v>0</v>
      </c>
      <c r="J59">
        <f>'Kopējā tabula'!J79</f>
        <v>0</v>
      </c>
      <c r="K59">
        <f>'Kopējā tabula'!K79</f>
        <v>0</v>
      </c>
      <c r="L59">
        <f>'Kopējā tabula'!L79</f>
        <v>0</v>
      </c>
      <c r="M59" s="15">
        <f>'Kopējā tabula'!N79</f>
        <v>0</v>
      </c>
      <c r="N59" s="15">
        <f>'Kopējā tabula'!O79</f>
        <v>0</v>
      </c>
      <c r="O59" s="15">
        <f>'Kopējā tabula'!P79</f>
        <v>0</v>
      </c>
      <c r="P59" s="15" t="str">
        <f>'Kopējā tabula'!Q79</f>
        <v>Nav datu 30-40% izmaksu</v>
      </c>
      <c r="Q59" s="15">
        <f>'Kopējā tabula'!S79</f>
        <v>0</v>
      </c>
    </row>
    <row r="60" spans="1:17" ht="12.75">
      <c r="A60" t="str">
        <f>'Kopējā tabula'!A80</f>
        <v>8.3.2.</v>
      </c>
      <c r="B60" t="str">
        <f>'Kopējā tabula'!B80</f>
        <v>HACCP (kvalitātes standarta) prasību atvieglojumi lauku virtuvēm</v>
      </c>
      <c r="C60" t="str">
        <f>'Kopējā tabula'!C80</f>
        <v>M2</v>
      </c>
      <c r="D60">
        <f>'Kopējā tabula'!D80</f>
        <v>0</v>
      </c>
      <c r="E60" t="str">
        <f>'Kopējā tabula'!E80</f>
        <v>Nav datu</v>
      </c>
      <c r="F60">
        <f>'Kopējā tabula'!F80</f>
        <v>0</v>
      </c>
      <c r="G60">
        <f>'Kopējā tabula'!G80</f>
        <v>0</v>
      </c>
      <c r="H60">
        <f>'Kopējā tabula'!H80</f>
        <v>0</v>
      </c>
      <c r="I60">
        <f>'Kopējā tabula'!I80</f>
        <v>0</v>
      </c>
      <c r="J60">
        <f>'Kopējā tabula'!J80</f>
        <v>0</v>
      </c>
      <c r="K60">
        <f>'Kopējā tabula'!K80</f>
        <v>0</v>
      </c>
      <c r="L60">
        <f>'Kopējā tabula'!L80</f>
        <v>0</v>
      </c>
      <c r="M60" s="15">
        <f>'Kopējā tabula'!N80</f>
        <v>0</v>
      </c>
      <c r="N60" s="15">
        <f>'Kopējā tabula'!O80</f>
        <v>0</v>
      </c>
      <c r="O60" s="15">
        <f>'Kopējā tabula'!P80</f>
        <v>0</v>
      </c>
      <c r="P60" s="15" t="str">
        <f>'Kopējā tabula'!Q80</f>
        <v>nav nosakāms jo atkarīgs no darbības vietas</v>
      </c>
      <c r="Q60" s="15">
        <f>'Kopējā tabula'!S80</f>
        <v>0</v>
      </c>
    </row>
    <row r="61" spans="1:17" ht="12.75">
      <c r="A61" t="str">
        <f>'Kopējā tabula'!A81</f>
        <v>8.3.3.</v>
      </c>
      <c r="B61" t="str">
        <f>'Kopējā tabula'!B81</f>
        <v>Mērīšanas līdzekļu atbilstības nodrošināšana un pārbaudes</v>
      </c>
      <c r="C61" t="str">
        <f>'Kopējā tabula'!C81</f>
        <v>M2</v>
      </c>
      <c r="D61">
        <f>'Kopējā tabula'!D81</f>
        <v>0</v>
      </c>
      <c r="E61" t="str">
        <f>'Kopējā tabula'!E81</f>
        <v>Nav ietekmes</v>
      </c>
      <c r="F61">
        <f>'Kopējā tabula'!F81</f>
        <v>0</v>
      </c>
      <c r="G61">
        <f>'Kopējā tabula'!G81</f>
        <v>0</v>
      </c>
      <c r="H61" t="str">
        <f>'Kopējā tabula'!H81</f>
        <v>Nav ietekmes</v>
      </c>
      <c r="I61">
        <f>'Kopējā tabula'!I81</f>
        <v>0</v>
      </c>
      <c r="J61">
        <f>'Kopējā tabula'!J81</f>
        <v>0</v>
      </c>
      <c r="K61">
        <f>'Kopējā tabula'!K81</f>
        <v>0</v>
      </c>
      <c r="L61">
        <f>'Kopējā tabula'!L81</f>
        <v>0</v>
      </c>
      <c r="M61" s="15">
        <f>'Kopējā tabula'!N81</f>
        <v>0</v>
      </c>
      <c r="N61" s="15">
        <f>'Kopējā tabula'!O81</f>
        <v>0</v>
      </c>
      <c r="O61" s="15">
        <f>'Kopējā tabula'!P81</f>
        <v>0</v>
      </c>
      <c r="P61" s="15" t="str">
        <f>'Kopējā tabula'!Q81</f>
        <v>10000 mērīšanas līdzekļu, uz katru 8 Ls, izmaksu samazinājums 15%</v>
      </c>
      <c r="Q61" s="15">
        <f>'Kopējā tabula'!S81</f>
        <v>12000</v>
      </c>
    </row>
    <row r="62" spans="1:17" ht="12.75">
      <c r="A62" t="str">
        <f>'Kopējā tabula'!A83</f>
        <v>8.4.1.</v>
      </c>
      <c r="B62" t="str">
        <f>'Kopējā tabula'!B83</f>
        <v>Būvkomersantu sertifikācija un reģistrācija</v>
      </c>
      <c r="C62" t="str">
        <f>'Kopējā tabula'!C83</f>
        <v>V2</v>
      </c>
      <c r="D62">
        <f>'Kopējā tabula'!D83</f>
        <v>0</v>
      </c>
      <c r="E62" t="str">
        <f>'Kopējā tabula'!E83</f>
        <v>EM nav ietekmes, jo neveic sertifikāciju</v>
      </c>
      <c r="F62">
        <f>'Kopējā tabula'!F83</f>
        <v>0</v>
      </c>
      <c r="G62">
        <f>'Kopējā tabula'!G83</f>
        <v>0</v>
      </c>
      <c r="H62">
        <f>'Kopējā tabula'!H83</f>
        <v>0</v>
      </c>
      <c r="I62">
        <f>'Kopējā tabula'!I83</f>
        <v>0</v>
      </c>
      <c r="J62">
        <f>'Kopējā tabula'!J83</f>
        <v>0</v>
      </c>
      <c r="K62">
        <f>'Kopējā tabula'!K83</f>
        <v>0</v>
      </c>
      <c r="L62">
        <f>'Kopējā tabula'!L83</f>
        <v>0</v>
      </c>
      <c r="M62" s="15">
        <f>'Kopējā tabula'!N83</f>
        <v>0</v>
      </c>
      <c r="N62" s="15">
        <f>'Kopējā tabula'!O83</f>
        <v>0</v>
      </c>
      <c r="O62" s="15">
        <f>'Kopējā tabula'!P83</f>
        <v>0</v>
      </c>
      <c r="P62" s="15" t="str">
        <f>'Kopējā tabula'!Q83</f>
        <v>Nav pētīti dati par sertifikāciju, ārpus apjoma</v>
      </c>
      <c r="Q62" s="15">
        <f>'Kopējā tabula'!S83</f>
        <v>0</v>
      </c>
    </row>
    <row r="63" spans="1:17" ht="12.75">
      <c r="A63" t="str">
        <f>'Kopējā tabula'!A84</f>
        <v>8.4.2.</v>
      </c>
      <c r="B63" t="str">
        <f>'Kopējā tabula'!B84</f>
        <v>Būvju uzmērīšanas nodošana privātajam tirgum</v>
      </c>
      <c r="C63" t="str">
        <f>'Kopējā tabula'!C84</f>
        <v>V3</v>
      </c>
      <c r="D63">
        <f>'Kopējā tabula'!D84</f>
        <v>0</v>
      </c>
      <c r="E63" t="str">
        <f>'Kopējā tabula'!E84</f>
        <v>2009.gadā funkcijas izmaksas 2.23 mlj. Ls</v>
      </c>
      <c r="F63">
        <f>'Kopējā tabula'!F84</f>
        <v>0</v>
      </c>
      <c r="G63">
        <f>'Kopējā tabula'!G84</f>
        <v>0</v>
      </c>
      <c r="H63" t="str">
        <f>'Kopējā tabula'!H84</f>
        <v>Nododot privātajam sektoram, paliek tikai izmaksas mērnieku darba uzraudzībai 140000 Ls gadā</v>
      </c>
      <c r="I63">
        <f>'Kopējā tabula'!I84</f>
        <v>0</v>
      </c>
      <c r="J63">
        <f>'Kopējā tabula'!J84</f>
        <v>0</v>
      </c>
      <c r="K63">
        <f>'Kopējā tabula'!K84</f>
        <v>0</v>
      </c>
      <c r="L63">
        <f>'Kopējā tabula'!L84</f>
        <v>0</v>
      </c>
      <c r="M63" s="15">
        <f>'Kopējā tabula'!N84</f>
        <v>0</v>
      </c>
      <c r="N63" s="15">
        <f>'Kopējā tabula'!O84</f>
        <v>0</v>
      </c>
      <c r="O63" s="15">
        <f>'Kopējā tabula'!P84</f>
        <v>0</v>
      </c>
      <c r="P63" s="15">
        <f>'Kopējā tabula'!Q84</f>
        <v>0</v>
      </c>
      <c r="Q63" s="15">
        <f>'Kopējā tabula'!S84</f>
        <v>0</v>
      </c>
    </row>
    <row r="64" spans="1:17" ht="12.75">
      <c r="A64" t="str">
        <f>'Kopējā tabula'!A85</f>
        <v>8.4.3.</v>
      </c>
      <c r="B64" t="str">
        <f>'Kopējā tabula'!B85</f>
        <v>Izziņas par zemes lietošanas mērķa noteikšanu vai maiņu obligātuma atcelšana</v>
      </c>
      <c r="C64" t="str">
        <f>'Kopējā tabula'!C85</f>
        <v>M1</v>
      </c>
      <c r="D64">
        <f>'Kopējā tabula'!D85</f>
        <v>0</v>
      </c>
      <c r="E64" t="str">
        <f>'Kopējā tabula'!E85</f>
        <v>Dati pieejami par 5 pašvaldībām (skat. detalizēto aprēķinu)</v>
      </c>
      <c r="F64">
        <f>'Kopējā tabula'!F85</f>
        <v>0</v>
      </c>
      <c r="G64">
        <f>'Kopējā tabula'!G85</f>
        <v>0</v>
      </c>
      <c r="H64" t="str">
        <f>'Kopējā tabula'!H85</f>
        <v>Izmaksas izziņai 5 Ls, kopā 4255 izziņas gadā valstī, admin 10%</v>
      </c>
      <c r="I64">
        <f>'Kopējā tabula'!I85</f>
        <v>0</v>
      </c>
      <c r="J64">
        <f>'Kopējā tabula'!J85</f>
        <v>21275</v>
      </c>
      <c r="K64">
        <f>'Kopējā tabula'!K85</f>
        <v>2127.5</v>
      </c>
      <c r="L64">
        <f>'Kopējā tabula'!L85</f>
        <v>0</v>
      </c>
      <c r="M64" s="15">
        <f>'Kopējā tabula'!N85</f>
        <v>23400</v>
      </c>
      <c r="N64" s="15">
        <f>'Kopējā tabula'!O85</f>
        <v>0</v>
      </c>
      <c r="O64" s="15">
        <f>'Kopējā tabula'!P85</f>
        <v>0</v>
      </c>
      <c r="P64" s="15" t="str">
        <f>'Kopējā tabula'!Q85</f>
        <v>Komersantiem 4255 izziņas, 5Ls nodeva, (2h) 10 Ls pieprasīšanai / saņemšanai</v>
      </c>
      <c r="Q64" s="15">
        <f>'Kopējā tabula'!S85</f>
        <v>63825</v>
      </c>
    </row>
    <row r="65" spans="1:17" ht="12.75">
      <c r="A65" t="str">
        <f>'Kopējā tabula'!A86</f>
        <v>8.4.4.</v>
      </c>
      <c r="B65" t="str">
        <f>'Kopējā tabula'!B86</f>
        <v>Pašvaldības lēmuma par pirmpirkuma tiesībām ierobežošana</v>
      </c>
      <c r="C65" t="str">
        <f>'Kopējā tabula'!C86</f>
        <v>M1</v>
      </c>
      <c r="D65">
        <f>'Kopējā tabula'!D86</f>
        <v>0</v>
      </c>
      <c r="E65" t="str">
        <f>'Kopējā tabula'!E86</f>
        <v>Dati pieejami par 5 pašvaldībām (skat. detalizēto aprēķinu)</v>
      </c>
      <c r="F65">
        <f>'Kopējā tabula'!F86</f>
        <v>0</v>
      </c>
      <c r="G65">
        <f>'Kopējā tabula'!G86</f>
        <v>0</v>
      </c>
      <c r="H65" t="str">
        <f>'Kopējā tabula'!H86</f>
        <v>Izmaksas lēmumam dažādi pa pilsētām, kopā 4830 gadījumi, samazinājums 80% (tikai 20% gadījumu pašvaldībai būtu interese), admin 10%</v>
      </c>
      <c r="I65">
        <f>'Kopējā tabula'!I86</f>
        <v>0</v>
      </c>
      <c r="J65">
        <f>'Kopējā tabula'!J86</f>
        <v>233200</v>
      </c>
      <c r="K65">
        <f>'Kopējā tabula'!K86</f>
        <v>23320</v>
      </c>
      <c r="L65">
        <f>'Kopējā tabula'!L86</f>
        <v>0</v>
      </c>
      <c r="M65" s="15">
        <f>'Kopējā tabula'!N86</f>
        <v>256520</v>
      </c>
      <c r="N65" s="15">
        <f>'Kopējā tabula'!O86</f>
        <v>0</v>
      </c>
      <c r="O65" s="15">
        <f>'Kopējā tabula'!P86</f>
        <v>0</v>
      </c>
      <c r="P65" s="15" t="str">
        <f>'Kopējā tabula'!Q86</f>
        <v>Komersantiem 4830 (80% nevajag), 4h sagatavošanai iesniegšanai, saņemšanai 5Ls stundā</v>
      </c>
      <c r="Q65" s="15">
        <f>'Kopējā tabula'!S86</f>
        <v>96600</v>
      </c>
    </row>
    <row r="66" spans="1:17" ht="12.75">
      <c r="A66" t="str">
        <f>'Kopējā tabula'!A87</f>
        <v>8.4.5.</v>
      </c>
      <c r="B66" t="str">
        <f>'Kopējā tabula'!B87</f>
        <v>Izziņas par samaksātu īpašuma nodokli atcelšana īpašuma reģistrācijas nolūkam</v>
      </c>
      <c r="C66" t="str">
        <f>'Kopējā tabula'!C87</f>
        <v>V1</v>
      </c>
      <c r="D66">
        <f>'Kopējā tabula'!D87</f>
        <v>0</v>
      </c>
      <c r="E66" t="str">
        <f>'Kopējā tabula'!E87</f>
        <v>Dati pieejami par 5 pašvaldībām (skat. detalizēto aprēķinu)</v>
      </c>
      <c r="F66">
        <f>'Kopējā tabula'!F87</f>
        <v>0</v>
      </c>
      <c r="G66">
        <f>'Kopējā tabula'!G87</f>
        <v>0</v>
      </c>
      <c r="H66" t="str">
        <f>'Kopējā tabula'!H87</f>
        <v>Neizsniedzot 27530 izziņas,, ietaupītu 19271 Ls (0.70 Ls uz vienu izziņu), 10% admin</v>
      </c>
      <c r="I66">
        <f>'Kopējā tabula'!I87</f>
        <v>0</v>
      </c>
      <c r="J66">
        <f>'Kopējā tabula'!J87</f>
        <v>19271</v>
      </c>
      <c r="K66">
        <f>'Kopējā tabula'!K87</f>
        <v>1927.1000000000001</v>
      </c>
      <c r="L66">
        <f>'Kopējā tabula'!L87</f>
        <v>0</v>
      </c>
      <c r="M66" s="15">
        <f>'Kopējā tabula'!N87</f>
        <v>21200</v>
      </c>
      <c r="N66" s="15">
        <f>'Kopējā tabula'!O87</f>
        <v>0</v>
      </c>
      <c r="O66" s="15">
        <f>'Kopējā tabula'!P87</f>
        <v>0</v>
      </c>
      <c r="P66" s="15" t="str">
        <f>'Kopējā tabula'!Q87</f>
        <v>Nav datu</v>
      </c>
      <c r="Q66" s="15">
        <f>'Kopējā tabula'!S87</f>
        <v>0</v>
      </c>
    </row>
    <row r="67" spans="1:17" ht="12.75">
      <c r="A67" t="str">
        <f>'Kopējā tabula'!A88</f>
        <v>8.4.6.</v>
      </c>
      <c r="B67" t="str">
        <f>'Kopējā tabula'!B88</f>
        <v>Publiskās apspriešanas prasību precizēšana</v>
      </c>
      <c r="C67" t="str">
        <f>'Kopējā tabula'!C88</f>
        <v>M3</v>
      </c>
      <c r="D67">
        <f>'Kopējā tabula'!D88</f>
        <v>0</v>
      </c>
      <c r="E67" t="str">
        <f>'Kopējā tabula'!E88</f>
        <v>Nav ietekmes</v>
      </c>
      <c r="F67">
        <f>'Kopējā tabula'!F88</f>
        <v>0</v>
      </c>
      <c r="G67">
        <f>'Kopējā tabula'!G88</f>
        <v>0</v>
      </c>
      <c r="H67" t="str">
        <f>'Kopējā tabula'!H88</f>
        <v>Nav ietekmes</v>
      </c>
      <c r="I67">
        <f>'Kopējā tabula'!I88</f>
        <v>0</v>
      </c>
      <c r="J67">
        <f>'Kopējā tabula'!J88</f>
        <v>0</v>
      </c>
      <c r="K67">
        <f>'Kopējā tabula'!K88</f>
        <v>0</v>
      </c>
      <c r="L67">
        <f>'Kopējā tabula'!L88</f>
        <v>0</v>
      </c>
      <c r="M67" s="15">
        <f>'Kopējā tabula'!N88</f>
        <v>0</v>
      </c>
      <c r="N67" s="15">
        <f>'Kopējā tabula'!O88</f>
        <v>0</v>
      </c>
      <c r="O67" s="15">
        <f>'Kopējā tabula'!P88</f>
        <v>0</v>
      </c>
      <c r="P67" s="15" t="str">
        <f>'Kopējā tabula'!Q88</f>
        <v>Nav datu</v>
      </c>
      <c r="Q67" s="15">
        <f>'Kopējā tabula'!S88</f>
        <v>0</v>
      </c>
    </row>
    <row r="68" spans="1:17" ht="12.75">
      <c r="A68" t="str">
        <f>'Kopējā tabula'!A89</f>
        <v>8.4.7.</v>
      </c>
      <c r="B68" t="str">
        <f>'Kopējā tabula'!B89</f>
        <v>Būvniecības ieceres stadijas vienkāršošana</v>
      </c>
      <c r="C68" t="str">
        <f>'Kopējā tabula'!C89</f>
        <v>M2</v>
      </c>
      <c r="D68">
        <f>'Kopējā tabula'!D89</f>
        <v>0</v>
      </c>
      <c r="E68" t="str">
        <f>'Kopējā tabula'!E89</f>
        <v>Dati pieejami par 5 pašvaldībām (skat. detalizēto aprēķinu)</v>
      </c>
      <c r="F68">
        <f>'Kopējā tabula'!F89</f>
        <v>0</v>
      </c>
      <c r="G68">
        <f>'Kopējā tabula'!G89</f>
        <v>0</v>
      </c>
      <c r="H68" t="str">
        <f>'Kopējā tabula'!H89</f>
        <v>Uz 6882 gadījumiem, izmaksas 2246400 Ls, ietaupījums 60%, admin 10%</v>
      </c>
      <c r="I68">
        <f>'Kopējā tabula'!I89</f>
        <v>0</v>
      </c>
      <c r="J68">
        <f>'Kopējā tabula'!J89</f>
        <v>1347840</v>
      </c>
      <c r="K68">
        <f>'Kopējā tabula'!K89</f>
        <v>134784</v>
      </c>
      <c r="L68">
        <f>'Kopējā tabula'!L89</f>
        <v>0</v>
      </c>
      <c r="M68" s="15">
        <f>'Kopējā tabula'!N89</f>
        <v>1482624</v>
      </c>
      <c r="N68" s="15">
        <f>'Kopējā tabula'!O89</f>
        <v>0</v>
      </c>
      <c r="O68" s="15">
        <f>'Kopējā tabula'!P89</f>
        <v>0</v>
      </c>
      <c r="P68" s="15" t="str">
        <f>'Kopējā tabula'!Q89</f>
        <v>Komersantiem dokumentu gatavošana vidēji 700 Ls, 6882 gadījumi, ietaupījums 50%</v>
      </c>
      <c r="Q68" s="15">
        <f>'Kopējā tabula'!S89</f>
        <v>2408700</v>
      </c>
    </row>
    <row r="69" spans="1:17" ht="12.75">
      <c r="A69" t="str">
        <f>'Kopējā tabula'!A90</f>
        <v>8.4.8.</v>
      </c>
      <c r="B69" t="str">
        <f>'Kopējā tabula'!B90</f>
        <v>Nepilnvērtīgi apsaimniekoto / nolaisto būvju sakārtošanas nosacījumu atvieglošana</v>
      </c>
      <c r="C69" t="str">
        <f>'Kopējā tabula'!C90</f>
        <v>M3</v>
      </c>
      <c r="D69">
        <f>'Kopējā tabula'!D90</f>
        <v>0</v>
      </c>
      <c r="E69" t="str">
        <f>'Kopējā tabula'!E90</f>
        <v>Nav kvantificējama no pētījuma datiem</v>
      </c>
      <c r="F69">
        <f>'Kopējā tabula'!F90</f>
        <v>0</v>
      </c>
      <c r="G69">
        <f>'Kopējā tabula'!G90</f>
        <v>0</v>
      </c>
      <c r="H69" t="str">
        <f>'Kopējā tabula'!H90</f>
        <v>Nav kvantificējama</v>
      </c>
      <c r="I69">
        <f>'Kopējā tabula'!I90</f>
        <v>0</v>
      </c>
      <c r="J69">
        <f>'Kopējā tabula'!J90</f>
        <v>0</v>
      </c>
      <c r="K69">
        <f>'Kopējā tabula'!K90</f>
        <v>0</v>
      </c>
      <c r="L69">
        <f>'Kopējā tabula'!L90</f>
        <v>0</v>
      </c>
      <c r="M69" s="15">
        <f>'Kopējā tabula'!N90</f>
        <v>0</v>
      </c>
      <c r="N69" s="15">
        <f>'Kopējā tabula'!O90</f>
        <v>0</v>
      </c>
      <c r="O69" s="15">
        <f>'Kopējā tabula'!P90</f>
        <v>0</v>
      </c>
      <c r="P69" s="15" t="str">
        <f>'Kopējā tabula'!Q90</f>
        <v>Nav datu</v>
      </c>
      <c r="Q69" s="15">
        <f>'Kopējā tabula'!S90</f>
        <v>0</v>
      </c>
    </row>
    <row r="70" spans="1:17" ht="12.75">
      <c r="A70" t="str">
        <f>'Kopējā tabula'!A91</f>
        <v>8.4.9.</v>
      </c>
      <c r="B70" t="str">
        <f>'Kopējā tabula'!B91</f>
        <v>Koku ciršanas atļauju izsniegšanas termiņu samazināšana</v>
      </c>
      <c r="C70" t="str">
        <f>'Kopējā tabula'!C91</f>
        <v>V1</v>
      </c>
      <c r="D70">
        <f>'Kopējā tabula'!D91</f>
        <v>0</v>
      </c>
      <c r="E70" t="str">
        <f>'Kopējā tabula'!E91</f>
        <v>Nav ietekmes</v>
      </c>
      <c r="F70">
        <f>'Kopējā tabula'!F91</f>
        <v>0</v>
      </c>
      <c r="G70">
        <f>'Kopējā tabula'!G91</f>
        <v>0</v>
      </c>
      <c r="H70" t="str">
        <f>'Kopējā tabula'!H91</f>
        <v>Nav ietekmes</v>
      </c>
      <c r="I70">
        <f>'Kopējā tabula'!I91</f>
        <v>0</v>
      </c>
      <c r="J70">
        <f>'Kopējā tabula'!J91</f>
        <v>0</v>
      </c>
      <c r="K70">
        <f>'Kopējā tabula'!K91</f>
        <v>0</v>
      </c>
      <c r="L70">
        <f>'Kopējā tabula'!L91</f>
        <v>0</v>
      </c>
      <c r="M70" s="15">
        <f>'Kopējā tabula'!N91</f>
        <v>0</v>
      </c>
      <c r="N70" s="15">
        <f>'Kopējā tabula'!O91</f>
        <v>0</v>
      </c>
      <c r="O70" s="15">
        <f>'Kopējā tabula'!P91</f>
        <v>0</v>
      </c>
      <c r="P70" s="15" t="str">
        <f>'Kopējā tabula'!Q91</f>
        <v>Nav datu</v>
      </c>
      <c r="Q70" s="15">
        <f>'Kopējā tabula'!S91</f>
        <v>0</v>
      </c>
    </row>
    <row r="71" spans="1:17" ht="12.75">
      <c r="A71" t="str">
        <f>'Kopējā tabula'!A92</f>
        <v>8.4.10.</v>
      </c>
      <c r="B71" t="str">
        <f>'Kopējā tabula'!B92</f>
        <v>Sezonas tirdzniecības projektu saskaņojuma derīguma termiņa pagarināšana</v>
      </c>
      <c r="C71" t="str">
        <f>'Kopējā tabula'!C92</f>
        <v>M2</v>
      </c>
      <c r="D71">
        <f>'Kopējā tabula'!D92</f>
        <v>0</v>
      </c>
      <c r="E71" t="str">
        <f>'Kopējā tabula'!E92</f>
        <v>Nav tiešu datu par atkārtoti saskaņojamiem tirdzniecības projektiem</v>
      </c>
      <c r="F71">
        <f>'Kopējā tabula'!F92</f>
        <v>0</v>
      </c>
      <c r="G71">
        <f>'Kopējā tabula'!G92</f>
        <v>0</v>
      </c>
      <c r="H71" t="str">
        <f>'Kopējā tabula'!H92</f>
        <v>Pieņemot, ka tiek saskaņoti 500 sezonas tirdzniecības objekti, izmaksas 70Ls uz katru, samazinājums 50% (nemaina projektu katru gadu)</v>
      </c>
      <c r="I71">
        <f>'Kopējā tabula'!I92</f>
        <v>0</v>
      </c>
      <c r="J71">
        <f>'Kopējā tabula'!J92</f>
        <v>17500</v>
      </c>
      <c r="K71">
        <f>'Kopējā tabula'!K92</f>
        <v>1750</v>
      </c>
      <c r="L71">
        <f>'Kopējā tabula'!L92</f>
        <v>0</v>
      </c>
      <c r="M71" s="15">
        <f>'Kopējā tabula'!N92</f>
        <v>19250</v>
      </c>
      <c r="N71" s="15">
        <f>'Kopējā tabula'!O92</f>
        <v>0</v>
      </c>
      <c r="O71" s="15">
        <f>'Kopējā tabula'!P92</f>
        <v>0</v>
      </c>
      <c r="P71" s="15" t="str">
        <f>'Kopējā tabula'!Q92</f>
        <v>250 komersantiem nav jāsaskaņo projekts, dokumentu sagatavošana un iesniegšana 200Ls</v>
      </c>
      <c r="Q71" s="15">
        <f>'Kopējā tabula'!S92</f>
        <v>50000</v>
      </c>
    </row>
    <row r="72" spans="1:17" ht="12.75">
      <c r="A72" t="str">
        <f>'Kopējā tabula'!A93</f>
        <v>8.4.11.</v>
      </c>
      <c r="B72" t="str">
        <f>'Kopējā tabula'!B93</f>
        <v>Arhitektu kvalifikācijas un atbildības paaugstināšana</v>
      </c>
      <c r="C72" t="str">
        <f>'Kopējā tabula'!C93</f>
        <v>M3</v>
      </c>
      <c r="D72">
        <f>'Kopējā tabula'!D93</f>
        <v>0</v>
      </c>
      <c r="E72" t="str">
        <f>'Kopējā tabula'!E93</f>
        <v>Bez papildu analīzes nav nosakāms</v>
      </c>
      <c r="F72">
        <f>'Kopējā tabula'!F93</f>
        <v>0</v>
      </c>
      <c r="G72">
        <f>'Kopējā tabula'!G93</f>
        <v>0</v>
      </c>
      <c r="H72">
        <f>'Kopējā tabula'!H93</f>
        <v>0</v>
      </c>
      <c r="I72">
        <f>'Kopējā tabula'!I93</f>
        <v>0</v>
      </c>
      <c r="J72">
        <f>'Kopējā tabula'!J93</f>
        <v>0</v>
      </c>
      <c r="K72">
        <f>'Kopējā tabula'!K93</f>
        <v>0</v>
      </c>
      <c r="L72">
        <f>'Kopējā tabula'!L93</f>
        <v>0</v>
      </c>
      <c r="M72" s="15">
        <f>'Kopējā tabula'!N93</f>
        <v>0</v>
      </c>
      <c r="N72" s="15">
        <f>'Kopējā tabula'!O93</f>
        <v>0</v>
      </c>
      <c r="O72" s="15">
        <f>'Kopējā tabula'!P93</f>
        <v>0</v>
      </c>
      <c r="P72" s="15">
        <f>'Kopējā tabula'!Q93</f>
        <v>0</v>
      </c>
      <c r="Q72" s="15">
        <f>'Kopējā tabula'!S93</f>
        <v>0</v>
      </c>
    </row>
    <row r="73" spans="1:17" ht="12.75">
      <c r="A73" t="str">
        <f>'Kopējā tabula'!A95</f>
        <v>8.5.1.</v>
      </c>
      <c r="B73" t="str">
        <f>'Kopējā tabula'!B95</f>
        <v>Kosmētisko līdzekļu importa nosacījumi</v>
      </c>
      <c r="C73" t="str">
        <f>'Kopējā tabula'!C95</f>
        <v>M2</v>
      </c>
      <c r="D73">
        <f>'Kopējā tabula'!D95</f>
        <v>0</v>
      </c>
      <c r="E73" t="str">
        <f>'Kopējā tabula'!E95</f>
        <v>Nav ietekmes</v>
      </c>
      <c r="F73">
        <f>'Kopējā tabula'!F95</f>
        <v>0</v>
      </c>
      <c r="G73">
        <f>'Kopējā tabula'!G95</f>
        <v>0</v>
      </c>
      <c r="H73" t="str">
        <f>'Kopējā tabula'!H95</f>
        <v>Nav ietekmes</v>
      </c>
      <c r="I73">
        <f>'Kopējā tabula'!I95</f>
        <v>0</v>
      </c>
      <c r="J73">
        <f>'Kopējā tabula'!J95</f>
        <v>0</v>
      </c>
      <c r="K73">
        <f>'Kopējā tabula'!K95</f>
        <v>0</v>
      </c>
      <c r="L73">
        <f>'Kopējā tabula'!L95</f>
        <v>0</v>
      </c>
      <c r="M73" s="15">
        <f>'Kopējā tabula'!N95</f>
        <v>0</v>
      </c>
      <c r="N73" s="15">
        <f>'Kopējā tabula'!O95</f>
        <v>0</v>
      </c>
      <c r="O73" s="15">
        <f>'Kopējā tabula'!P95</f>
        <v>0</v>
      </c>
      <c r="P73" s="15" t="str">
        <f>'Kopējā tabula'!Q95</f>
        <v>5000 jauni produkti gadā, 4h x 5 Ls</v>
      </c>
      <c r="Q73" s="15">
        <f>'Kopējā tabula'!S95</f>
        <v>100000</v>
      </c>
    </row>
    <row r="74" spans="1:17" ht="12.75">
      <c r="A74" t="str">
        <f>'Kopējā tabula'!A97</f>
        <v>8.6.1.</v>
      </c>
      <c r="B74" t="str">
        <f>'Kopējā tabula'!B97</f>
        <v>Zāļu reģistrēšanas atvieglošana</v>
      </c>
      <c r="C74" t="str">
        <f>'Kopējā tabula'!C97</f>
        <v>M2</v>
      </c>
      <c r="D74">
        <f>'Kopējā tabula'!D97</f>
        <v>0</v>
      </c>
      <c r="E74" t="str">
        <f>'Kopējā tabula'!E97</f>
        <v>Nav ietekmes</v>
      </c>
      <c r="F74">
        <f>'Kopējā tabula'!F97</f>
        <v>0</v>
      </c>
      <c r="G74">
        <f>'Kopējā tabula'!G97</f>
        <v>0</v>
      </c>
      <c r="H74" t="str">
        <f>'Kopējā tabula'!H97</f>
        <v>Nav ietekmes</v>
      </c>
      <c r="I74">
        <f>'Kopējā tabula'!I97</f>
        <v>0</v>
      </c>
      <c r="J74">
        <f>'Kopējā tabula'!J97</f>
        <v>0</v>
      </c>
      <c r="K74">
        <f>'Kopējā tabula'!K97</f>
        <v>0</v>
      </c>
      <c r="L74">
        <f>'Kopējā tabula'!L97</f>
        <v>0</v>
      </c>
      <c r="M74" s="15">
        <f>'Kopējā tabula'!N97</f>
        <v>0</v>
      </c>
      <c r="N74" s="15">
        <f>'Kopējā tabula'!O97</f>
        <v>0</v>
      </c>
      <c r="O74" s="15">
        <f>'Kopējā tabula'!P97</f>
        <v>0</v>
      </c>
      <c r="P74" s="15" t="str">
        <f>'Kopējā tabula'!Q97</f>
        <v>500 zāles reģistrētas, saraksta sagatavošana un iesniegšana 16h*5</v>
      </c>
      <c r="Q74" s="15">
        <f>'Kopējā tabula'!S97</f>
        <v>40000</v>
      </c>
    </row>
    <row r="75" spans="1:17" ht="12.75">
      <c r="A75" t="str">
        <f>'Kopējā tabula'!A99</f>
        <v>8.7.1.</v>
      </c>
      <c r="B75" t="str">
        <f>'Kopējā tabula'!B99</f>
        <v>Kases aparātu apkalpošana</v>
      </c>
      <c r="C75" t="str">
        <f>'Kopējā tabula'!C99</f>
        <v>M2</v>
      </c>
      <c r="D75">
        <f>'Kopējā tabula'!D99</f>
        <v>0</v>
      </c>
      <c r="E75" t="str">
        <f>'Kopējā tabula'!E99</f>
        <v>Nav ietekmes</v>
      </c>
      <c r="F75">
        <f>'Kopējā tabula'!F99</f>
        <v>0</v>
      </c>
      <c r="G75">
        <f>'Kopējā tabula'!G99</f>
        <v>0</v>
      </c>
      <c r="H75" t="str">
        <f>'Kopējā tabula'!H99</f>
        <v>Nav ietekmes</v>
      </c>
      <c r="I75">
        <f>'Kopējā tabula'!I99</f>
        <v>0</v>
      </c>
      <c r="J75">
        <f>'Kopējā tabula'!J99</f>
        <v>0</v>
      </c>
      <c r="K75">
        <f>'Kopējā tabula'!K99</f>
        <v>0</v>
      </c>
      <c r="L75">
        <f>'Kopējā tabula'!L99</f>
        <v>0</v>
      </c>
      <c r="M75" s="15">
        <f>'Kopējā tabula'!N99</f>
        <v>0</v>
      </c>
      <c r="N75" s="15">
        <f>'Kopējā tabula'!O99</f>
        <v>0</v>
      </c>
      <c r="O75" s="15">
        <f>'Kopējā tabula'!P99</f>
        <v>0</v>
      </c>
      <c r="P75" s="15" t="str">
        <f>'Kopējā tabula'!Q99</f>
        <v>2009.gadā 10762 kases aparāti, izmaksas vidēji 500 Ls gadā, ietaupījums 10%</v>
      </c>
      <c r="Q75" s="15">
        <f>'Kopējā tabula'!S99</f>
        <v>5438100</v>
      </c>
    </row>
    <row r="76" spans="1:17" ht="12.75">
      <c r="A76" t="str">
        <f>'Kopējā tabula'!A100</f>
        <v>8.7.2.</v>
      </c>
      <c r="B76" t="str">
        <f>'Kopējā tabula'!B100</f>
        <v>Kases čeku satura vienkāršošana</v>
      </c>
      <c r="C76" t="str">
        <f>'Kopējā tabula'!C100</f>
        <v>M2</v>
      </c>
      <c r="D76">
        <f>'Kopējā tabula'!D100</f>
        <v>0</v>
      </c>
      <c r="E76" t="str">
        <f>'Kopējā tabula'!E100</f>
        <v>Nav ietekmes</v>
      </c>
      <c r="F76">
        <f>'Kopējā tabula'!F100</f>
        <v>0</v>
      </c>
      <c r="G76">
        <f>'Kopējā tabula'!G100</f>
        <v>0</v>
      </c>
      <c r="H76" t="str">
        <f>'Kopējā tabula'!H100</f>
        <v>Nav ietekmes</v>
      </c>
      <c r="I76">
        <f>'Kopējā tabula'!I100</f>
        <v>0</v>
      </c>
      <c r="J76">
        <f>'Kopējā tabula'!J100</f>
        <v>0</v>
      </c>
      <c r="K76">
        <f>'Kopējā tabula'!K100</f>
        <v>0</v>
      </c>
      <c r="L76">
        <f>'Kopējā tabula'!L100</f>
        <v>0</v>
      </c>
      <c r="M76" s="15">
        <f>'Kopējā tabula'!N100</f>
        <v>0</v>
      </c>
      <c r="N76" s="15">
        <f>'Kopējā tabula'!O100</f>
        <v>0</v>
      </c>
      <c r="O76" s="15">
        <f>'Kopējā tabula'!P100</f>
        <v>0</v>
      </c>
      <c r="P76" s="15" t="str">
        <f>'Kopējā tabula'!Q100</f>
        <v>2009.gadā 10762 kases aparāti, čeku lenets 40 Ls gadā, programmēšana satura dēļ 100 Ls gadā. Ietaupījums 10%</v>
      </c>
      <c r="Q76" s="15">
        <f>'Kopējā tabula'!S100</f>
        <v>4304800</v>
      </c>
    </row>
    <row r="77" spans="1:17" ht="12.75">
      <c r="A77" t="str">
        <f>'Kopējā tabula'!A101</f>
        <v>8.7.3.</v>
      </c>
      <c r="B77" t="str">
        <f>'Kopējā tabula'!B101</f>
        <v>Kases operāciju dokumentācijas optimizēšana</v>
      </c>
      <c r="C77" t="str">
        <f>'Kopējā tabula'!C101</f>
        <v>M2</v>
      </c>
      <c r="D77">
        <f>'Kopējā tabula'!D101</f>
        <v>0</v>
      </c>
      <c r="E77" t="str">
        <f>'Kopējā tabula'!E101</f>
        <v>Nav ietekmes</v>
      </c>
      <c r="F77">
        <f>'Kopējā tabula'!F101</f>
        <v>0</v>
      </c>
      <c r="G77">
        <f>'Kopējā tabula'!G101</f>
        <v>0</v>
      </c>
      <c r="H77" t="str">
        <f>'Kopējā tabula'!H101</f>
        <v>Nav ietekmes</v>
      </c>
      <c r="I77">
        <f>'Kopējā tabula'!I101</f>
        <v>0</v>
      </c>
      <c r="J77">
        <f>'Kopējā tabula'!J101</f>
        <v>0</v>
      </c>
      <c r="K77">
        <f>'Kopējā tabula'!K101</f>
        <v>0</v>
      </c>
      <c r="L77">
        <f>'Kopējā tabula'!L101</f>
        <v>0</v>
      </c>
      <c r="M77" s="15">
        <f>'Kopējā tabula'!N101</f>
        <v>0</v>
      </c>
      <c r="N77" s="15">
        <f>'Kopējā tabula'!O101</f>
        <v>0</v>
      </c>
      <c r="O77" s="15">
        <f>'Kopējā tabula'!P101</f>
        <v>0</v>
      </c>
      <c r="P77" s="15" t="str">
        <f>'Kopējā tabula'!Q101</f>
        <v>1009.gadā 10762 kases aparāti, 240h gadā *2 Ls</v>
      </c>
      <c r="Q77" s="15">
        <f>'Kopējā tabula'!S101</f>
        <v>5165760</v>
      </c>
    </row>
    <row r="78" spans="1:17" ht="12.75">
      <c r="A78" t="str">
        <f>'Kopējā tabula'!A102</f>
        <v>8.7.4.</v>
      </c>
      <c r="B78" t="str">
        <f>'Kopējā tabula'!B102</f>
        <v>Sezonas tirdzniecības projektu saskaņojuma derīguma termiņa pagarināšana</v>
      </c>
      <c r="C78" t="str">
        <f>'Kopējā tabula'!C102</f>
        <v>M2</v>
      </c>
      <c r="D78">
        <f>'Kopējā tabula'!D102</f>
        <v>0</v>
      </c>
      <c r="E78" t="str">
        <f>'Kopējā tabula'!E102</f>
        <v>Nav tieši rēķināmss, jo ir interpretācija, cik daudz no saskaņotajiem projektiem tiks arī nākamgad doti uz saskaņošanu</v>
      </c>
      <c r="F78">
        <f>'Kopējā tabula'!F102</f>
        <v>0</v>
      </c>
      <c r="G78">
        <f>'Kopējā tabula'!G102</f>
        <v>0</v>
      </c>
      <c r="H78">
        <f>'Kopējā tabula'!H102</f>
        <v>0</v>
      </c>
      <c r="I78">
        <f>'Kopējā tabula'!I102</f>
        <v>0</v>
      </c>
      <c r="J78">
        <f>'Kopējā tabula'!J102</f>
        <v>0</v>
      </c>
      <c r="K78">
        <f>'Kopējā tabula'!K102</f>
        <v>0</v>
      </c>
      <c r="L78">
        <f>'Kopējā tabula'!L102</f>
        <v>0</v>
      </c>
      <c r="M78" s="15">
        <f>'Kopējā tabula'!N102</f>
        <v>0</v>
      </c>
      <c r="N78" s="15">
        <f>'Kopējā tabula'!O102</f>
        <v>0</v>
      </c>
      <c r="O78" s="15">
        <f>'Kopējā tabula'!P102</f>
        <v>0</v>
      </c>
      <c r="P78" s="15">
        <f>'Kopējā tabula'!Q102</f>
        <v>0</v>
      </c>
      <c r="Q78" s="15">
        <f>'Kopējā tabula'!S102</f>
        <v>0</v>
      </c>
    </row>
    <row r="79" spans="1:17" ht="12.75">
      <c r="A79" t="str">
        <f>'Kopējā tabula'!A105</f>
        <v>9.1.1.</v>
      </c>
      <c r="B79" t="str">
        <f>'Kopējā tabula'!B105</f>
        <v>Administratoru atbildība</v>
      </c>
      <c r="C79" t="str">
        <f>'Kopējā tabula'!C105</f>
        <v>M3</v>
      </c>
      <c r="D79">
        <f>'Kopējā tabula'!D105</f>
        <v>0</v>
      </c>
      <c r="E79" t="str">
        <f>'Kopējā tabula'!E105</f>
        <v>Nav nosakāms bez papildu analīzes veikšanas</v>
      </c>
      <c r="F79">
        <f>'Kopējā tabula'!F105</f>
        <v>0</v>
      </c>
      <c r="G79">
        <f>'Kopējā tabula'!G105</f>
        <v>0</v>
      </c>
      <c r="H79">
        <f>'Kopējā tabula'!H105</f>
        <v>0</v>
      </c>
      <c r="I79">
        <f>'Kopējā tabula'!I105</f>
        <v>0</v>
      </c>
      <c r="J79">
        <f>'Kopējā tabula'!J105</f>
        <v>0</v>
      </c>
      <c r="K79">
        <f>'Kopējā tabula'!K105</f>
        <v>0</v>
      </c>
      <c r="L79">
        <f>'Kopējā tabula'!L105</f>
        <v>0</v>
      </c>
      <c r="M79" s="15">
        <f>'Kopējā tabula'!N105</f>
        <v>0</v>
      </c>
      <c r="N79" s="15">
        <f>'Kopējā tabula'!O105</f>
        <v>0</v>
      </c>
      <c r="O79" s="15">
        <f>'Kopējā tabula'!P105</f>
        <v>0</v>
      </c>
      <c r="P79" s="15">
        <f>'Kopējā tabula'!Q105</f>
        <v>0</v>
      </c>
      <c r="Q79" s="15">
        <f>'Kopējā tabula'!S105</f>
        <v>0</v>
      </c>
    </row>
    <row r="80" spans="1:17" ht="12.75">
      <c r="A80" t="str">
        <f>'Kopējā tabula'!A106</f>
        <v>9.1.2.</v>
      </c>
      <c r="B80" t="str">
        <f>'Kopējā tabula'!B106</f>
        <v>Informācijas nodošana maksātnespējas administratoram</v>
      </c>
      <c r="C80" t="str">
        <f>'Kopējā tabula'!C106</f>
        <v>M2</v>
      </c>
      <c r="D80">
        <f>'Kopējā tabula'!D106</f>
        <v>0</v>
      </c>
      <c r="E80" t="str">
        <f>'Kopējā tabula'!E106</f>
        <v>Nav ietekmes</v>
      </c>
      <c r="F80">
        <f>'Kopējā tabula'!F106</f>
        <v>0</v>
      </c>
      <c r="G80">
        <f>'Kopējā tabula'!G106</f>
        <v>0</v>
      </c>
      <c r="H80" t="str">
        <f>'Kopējā tabula'!H106</f>
        <v>Nav ietekmes</v>
      </c>
      <c r="I80">
        <f>'Kopējā tabula'!I106</f>
        <v>0</v>
      </c>
      <c r="J80">
        <f>'Kopējā tabula'!J106</f>
        <v>0</v>
      </c>
      <c r="K80">
        <f>'Kopējā tabula'!K106</f>
        <v>0</v>
      </c>
      <c r="L80">
        <f>'Kopējā tabula'!L106</f>
        <v>0</v>
      </c>
      <c r="M80" s="15">
        <f>'Kopējā tabula'!N106</f>
        <v>0</v>
      </c>
      <c r="N80" s="15">
        <f>'Kopējā tabula'!O106</f>
        <v>0</v>
      </c>
      <c r="O80" s="15">
        <f>'Kopējā tabula'!P106</f>
        <v>0</v>
      </c>
      <c r="P80" s="15" t="str">
        <f>'Kopējā tabula'!Q106</f>
        <v>1500 maksātnespējas pieteikumi gadā, atkārtota dokumentu iesniegšana 5h*10 Ls</v>
      </c>
      <c r="Q80" s="15">
        <f>'Kopējā tabula'!S106</f>
        <v>75000</v>
      </c>
    </row>
    <row r="81" spans="1:17" ht="12.75">
      <c r="A81" t="str">
        <f>'Kopējā tabula'!A107</f>
        <v>9.1.3.</v>
      </c>
      <c r="B81" t="str">
        <f>'Kopējā tabula'!B107</f>
        <v>Komercreģistra ierakstu izmaiņu paziņošana</v>
      </c>
      <c r="C81" t="str">
        <f>'Kopējā tabula'!C107</f>
        <v>M3</v>
      </c>
      <c r="D81">
        <f>'Kopējā tabula'!D107</f>
        <v>0</v>
      </c>
      <c r="E81" t="str">
        <f>'Kopējā tabula'!E107</f>
        <v>Nav samazinājums</v>
      </c>
      <c r="F81">
        <f>'Kopējā tabula'!F107</f>
        <v>0</v>
      </c>
      <c r="G81">
        <f>'Kopējā tabula'!G107</f>
        <v>0</v>
      </c>
      <c r="H81">
        <f>'Kopējā tabula'!H107</f>
        <v>0</v>
      </c>
      <c r="I81">
        <f>'Kopējā tabula'!I107</f>
        <v>0</v>
      </c>
      <c r="J81">
        <f>'Kopējā tabula'!J107</f>
        <v>0</v>
      </c>
      <c r="K81">
        <f>'Kopējā tabula'!K107</f>
        <v>0</v>
      </c>
      <c r="L81">
        <f>'Kopējā tabula'!L107</f>
        <v>0</v>
      </c>
      <c r="M81" s="15">
        <f>'Kopējā tabula'!N107</f>
        <v>0</v>
      </c>
      <c r="N81" s="15">
        <f>'Kopējā tabula'!O107</f>
        <v>0</v>
      </c>
      <c r="O81" s="15">
        <f>'Kopējā tabula'!P107</f>
        <v>0</v>
      </c>
      <c r="P81" s="15">
        <f>'Kopējā tabula'!Q107</f>
        <v>0</v>
      </c>
      <c r="Q81" s="15">
        <f>'Kopējā tabula'!S107</f>
        <v>0</v>
      </c>
    </row>
    <row r="82" spans="13:17" ht="12.75">
      <c r="M82" s="59">
        <f>SUM(M2:M81)</f>
        <v>10348746.98386195</v>
      </c>
      <c r="N82" s="59">
        <f>SUM(N2:N81)</f>
        <v>0</v>
      </c>
      <c r="O82" s="59">
        <f>SUM(O2:O81)</f>
        <v>2032005</v>
      </c>
      <c r="P82" s="59">
        <f>SUM(P2:P81)</f>
        <v>0</v>
      </c>
      <c r="Q82" s="59">
        <f>SUM(Q2:Q81)</f>
        <v>27219119</v>
      </c>
    </row>
    <row r="84" spans="13:17" ht="12.75">
      <c r="M84" s="15"/>
      <c r="Q84" s="15"/>
    </row>
  </sheetData>
  <sheetProtection/>
  <printOptions/>
  <pageMargins left="0.7086614173228347" right="0.7086614173228347" top="0.46" bottom="0.3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Linda.Sile</dc:creator>
  <cp:keywords/>
  <dc:description/>
  <cp:lastModifiedBy>Projekta asistents</cp:lastModifiedBy>
  <cp:lastPrinted>2010-06-21T11:56:02Z</cp:lastPrinted>
  <dcterms:created xsi:type="dcterms:W3CDTF">2010-06-14T07:31:17Z</dcterms:created>
  <dcterms:modified xsi:type="dcterms:W3CDTF">2011-06-10T11:33:42Z</dcterms:modified>
  <cp:category/>
  <cp:version/>
  <cp:contentType/>
  <cp:contentStatus/>
</cp:coreProperties>
</file>