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D:\jaunais likums\"/>
    </mc:Choice>
  </mc:AlternateContent>
  <xr:revisionPtr revIDLastSave="0" documentId="8_{E90AC98E-3A6D-4587-9F8E-51CFBED1D82C}" xr6:coauthVersionLast="46" xr6:coauthVersionMax="46" xr10:uidLastSave="{00000000-0000-0000-0000-000000000000}"/>
  <bookViews>
    <workbookView xWindow="-108" yWindow="-108" windowWidth="23256" windowHeight="12576" firstSheet="1" activeTab="3" xr2:uid="{00000000-000D-0000-FFFF-FFFF00000000}"/>
  </bookViews>
  <sheets>
    <sheet name="kopējais" sheetId="1" state="hidden" r:id="rId1"/>
    <sheet name="kopējais 2022" sheetId="3" r:id="rId2"/>
    <sheet name="pa amatiem" sheetId="2" state="hidden" r:id="rId3"/>
    <sheet name="pa amatiem 2022" sheetId="4" r:id="rId4"/>
    <sheet name="Sheet1" sheetId="5" state="hidden" r:id="rId5"/>
    <sheet name="KNAB 2022" sheetId="6" r:id="rId6"/>
    <sheet name="skala no 01.jul2022" sheetId="9" r:id="rId7"/>
    <sheet name="statistikas dati pa sektoriem " sheetId="7" r:id="rId8"/>
    <sheet name="Sheet2" sheetId="8" state="hidden"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3" i="4" l="1"/>
  <c r="E92" i="4"/>
  <c r="E91" i="4"/>
  <c r="E13" i="4"/>
  <c r="E14" i="4"/>
  <c r="E15" i="4"/>
  <c r="E16" i="4"/>
  <c r="E17" i="4"/>
  <c r="E18" i="4"/>
  <c r="E19" i="4"/>
  <c r="E20" i="4"/>
  <c r="E21" i="4"/>
  <c r="E22" i="4"/>
  <c r="E12" i="4"/>
  <c r="K24" i="9"/>
  <c r="J24" i="9"/>
  <c r="I24" i="9"/>
  <c r="K23" i="9"/>
  <c r="J23" i="9"/>
  <c r="I23" i="9"/>
  <c r="K22" i="9"/>
  <c r="J22" i="9"/>
  <c r="I22" i="9"/>
  <c r="K21" i="9"/>
  <c r="J21" i="9"/>
  <c r="I21" i="9"/>
  <c r="K20" i="9"/>
  <c r="J20" i="9"/>
  <c r="I20" i="9"/>
  <c r="K19" i="9"/>
  <c r="J19" i="9"/>
  <c r="I19" i="9"/>
  <c r="I18" i="9"/>
  <c r="K18" i="9"/>
  <c r="J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M21" i="8"/>
  <c r="M20" i="8"/>
  <c r="M19" i="8"/>
  <c r="M18" i="8"/>
  <c r="M17" i="8"/>
  <c r="M16" i="8"/>
  <c r="M15" i="8"/>
  <c r="M14" i="8"/>
  <c r="M13" i="8"/>
  <c r="M12" i="8"/>
  <c r="M11" i="8"/>
  <c r="M10" i="8"/>
  <c r="M9" i="8"/>
  <c r="M8" i="8"/>
  <c r="L21" i="8"/>
  <c r="L20" i="8"/>
  <c r="L19" i="8"/>
  <c r="L18" i="8"/>
  <c r="L17" i="8"/>
  <c r="L16" i="8"/>
  <c r="L15" i="8"/>
  <c r="L14" i="8"/>
  <c r="L13" i="8"/>
  <c r="L12" i="8"/>
  <c r="L11" i="8"/>
  <c r="L10" i="8"/>
  <c r="L9" i="8"/>
  <c r="L8" i="8"/>
  <c r="M7" i="8"/>
  <c r="L7" i="8"/>
  <c r="M6" i="8"/>
  <c r="L6" i="8"/>
  <c r="K21" i="8"/>
  <c r="K20" i="8"/>
  <c r="K19" i="8"/>
  <c r="K18" i="8"/>
  <c r="K17" i="8"/>
  <c r="K16" i="8"/>
  <c r="K15" i="8"/>
  <c r="K14" i="8"/>
  <c r="K13" i="8"/>
  <c r="K12" i="8"/>
  <c r="K11" i="8"/>
  <c r="K10" i="8"/>
  <c r="K9" i="8"/>
  <c r="K8" i="8"/>
  <c r="K7" i="8"/>
  <c r="K6" i="8"/>
  <c r="E81" i="4"/>
  <c r="K12" i="3"/>
  <c r="K11" i="3"/>
  <c r="K10" i="3"/>
  <c r="K9" i="3"/>
  <c r="E51" i="4"/>
  <c r="E49" i="4"/>
  <c r="E48" i="4"/>
  <c r="N18" i="5"/>
  <c r="N21" i="5"/>
  <c r="N20" i="5"/>
  <c r="N19" i="5"/>
  <c r="N17" i="5"/>
  <c r="N16" i="5"/>
  <c r="N15" i="5"/>
  <c r="N14" i="5"/>
  <c r="N13" i="5"/>
  <c r="N12" i="5"/>
  <c r="N11" i="5"/>
  <c r="N10" i="5"/>
  <c r="N9" i="5"/>
  <c r="M16" i="5"/>
  <c r="M14" i="5"/>
  <c r="M21" i="5"/>
  <c r="M20" i="5"/>
  <c r="M19" i="5"/>
  <c r="M18" i="5"/>
  <c r="M17" i="5"/>
  <c r="M15" i="5"/>
  <c r="M13" i="5"/>
  <c r="M12" i="5"/>
  <c r="M11" i="5"/>
  <c r="M10" i="5"/>
  <c r="M9" i="5"/>
  <c r="L21" i="5"/>
  <c r="L20" i="5"/>
  <c r="L19" i="5"/>
  <c r="L18" i="5"/>
  <c r="L17" i="5"/>
  <c r="L16" i="5"/>
  <c r="L15" i="5"/>
  <c r="L14" i="5"/>
  <c r="L13" i="5"/>
  <c r="L12" i="5"/>
  <c r="L11" i="5"/>
  <c r="L10" i="5"/>
  <c r="L9" i="5"/>
  <c r="N8" i="5"/>
  <c r="M8" i="5"/>
  <c r="L8" i="5"/>
  <c r="N7" i="5"/>
  <c r="M7" i="5"/>
  <c r="L7" i="5"/>
  <c r="N6" i="5"/>
  <c r="M6" i="5"/>
  <c r="L6" i="5"/>
  <c r="E83" i="4" l="1"/>
  <c r="E84" i="4"/>
  <c r="E85" i="4"/>
  <c r="E82" i="4"/>
  <c r="E74" i="4"/>
  <c r="E73" i="4"/>
  <c r="E68" i="4"/>
  <c r="E65" i="4"/>
  <c r="E62" i="4"/>
  <c r="E61" i="4"/>
  <c r="E58" i="4"/>
  <c r="E55" i="4"/>
  <c r="E45" i="4"/>
  <c r="E46" i="4"/>
  <c r="E44" i="4"/>
  <c r="E41" i="4"/>
  <c r="E38" i="4"/>
  <c r="E35" i="4"/>
  <c r="E30" i="4"/>
  <c r="E31" i="4"/>
  <c r="E32" i="4"/>
  <c r="E29" i="4"/>
  <c r="E26" i="4"/>
  <c r="E25" i="4"/>
  <c r="E7" i="4"/>
  <c r="E8" i="4"/>
  <c r="E9" i="4"/>
  <c r="E10" i="4"/>
  <c r="E6" i="4"/>
  <c r="E80" i="4"/>
  <c r="E79" i="4"/>
  <c r="I12" i="3"/>
  <c r="I11" i="3"/>
  <c r="I10" i="3"/>
  <c r="I9" i="3"/>
  <c r="E61" i="2" l="1"/>
  <c r="E73" i="2" l="1"/>
  <c r="E72" i="2"/>
  <c r="E71" i="2"/>
  <c r="H12" i="1"/>
  <c r="E65" i="2" l="1"/>
  <c r="E64" i="2"/>
  <c r="E63" i="2"/>
  <c r="E62" i="2"/>
  <c r="E60" i="2"/>
  <c r="E55" i="2"/>
  <c r="E54" i="2"/>
  <c r="E49" i="2"/>
  <c r="E46" i="2"/>
  <c r="E43" i="2"/>
  <c r="E42" i="2"/>
  <c r="E39" i="2"/>
  <c r="E36" i="2"/>
  <c r="E33" i="2"/>
  <c r="E32" i="2"/>
  <c r="E31" i="2"/>
  <c r="E28" i="2"/>
  <c r="E25" i="2"/>
  <c r="E22" i="2"/>
  <c r="E19" i="2"/>
  <c r="E18" i="2"/>
  <c r="E17" i="2"/>
  <c r="E16" i="2"/>
  <c r="E13" i="2"/>
  <c r="E12" i="2"/>
  <c r="E9" i="2"/>
  <c r="E8" i="2"/>
  <c r="E7" i="2"/>
  <c r="E6" i="2"/>
  <c r="E5" i="2"/>
  <c r="H11" i="1"/>
  <c r="H10" i="1"/>
  <c r="H9" i="1"/>
</calcChain>
</file>

<file path=xl/sharedStrings.xml><?xml version="1.0" encoding="utf-8"?>
<sst xmlns="http://schemas.openxmlformats.org/spreadsheetml/2006/main" count="454" uniqueCount="205">
  <si>
    <t xml:space="preserve">Sektors </t>
  </si>
  <si>
    <t xml:space="preserve">Bāzes mēnešalga 2019.gadā </t>
  </si>
  <si>
    <t>Indeksācijas nosacījumi</t>
  </si>
  <si>
    <t>Sabiedrisko pakalpojumu regulēšanas komisija</t>
  </si>
  <si>
    <t>saskaita Centrālās statistikas pārvaldes oficiālajā statistikas paziņojumā publicēto finanšu un apdrošināšanas jomā strādājošo aizpagājušā gada mēneša vidējās darba samaksas apmēra pieaugumu procentos pret iepriekšējo gadu ar aizpagājušā gada inflāciju procentos pret iepriekšējo gadu un attiecīgo summu dala ar divi</t>
  </si>
  <si>
    <t>saskaita Centrālās statistikas pārvaldes oficiālajā statistikas paziņojumā publicēto elektronisko sakaru un enerģētikas nozarē strādājošo aizpagājušā gada mēneša vidējās darba samaksas apmēra pieaugumu procentos pret iepriekšējo gadu ar aizpagājušā gada inflāciju procentos pret iepriekšējo gadu un attiecīgo summu dala ar divi</t>
  </si>
  <si>
    <t xml:space="preserve">Iestādes  vai amati, kuriem attiecināms </t>
  </si>
  <si>
    <t>saskaita Centrālās statistikas pārvaldes oficiālajā statistikas paziņojumā publicēto valstī strādājošo aizpagājušā gada mēneša vidējās darba samaksas apmēra pieaugumu procentos pret iepriekšējo gadu ar aizpagājušā gada inflāciju procentos pret iepriekšējo gadu un attiecīgo summu dala ar divi</t>
  </si>
  <si>
    <t xml:space="preserve">Valstī strādājošo 2017.gada mēneša vidējās darba samaksas apmērs </t>
  </si>
  <si>
    <t xml:space="preserve">Finanšu un apdrošināšanas jomā strādājošo 2017.gada mēneša vidējās darba samaksas apmērs </t>
  </si>
  <si>
    <t>Elektronisko sakaru un enerģētikas nozarē strādājošo 2017.gada mēneša vidējās darba samaksas apmērs</t>
  </si>
  <si>
    <t>Indeksācijas aprēķins 2020.gadam</t>
  </si>
  <si>
    <t>Rajona tiesas tiesnesis, rajona prokurors, Konkurences padome, Datu valsts inspekcija, pašvaldības deputāti, domes priekšsēdētājs, domes priekšsēdētāja vietnieks, domes komitejas priekšsēdētājs, domes komitejas priekšsēdētāja vietnieks, Saeimas deputātam, Ministru prezidentam, Ministru prezidenta biedram, ministram, paralamentārajam sekretāram, valsts kontrolierim, Valsts kontroles padomes locekļiem, tiesībsargam, NEPLP priekšsēdētājam, NEPLP priekšsēdētāja vietniekam, NEPLP loceklim, CVK priekšsēdētājam, CVK priekšsēdētāja vietniekam, CVK sekretāram, CVK loceklim, CZK priekšsēdētājam, Augstākās izglītības padomes priekšsēdētājam, Augstākās izglītības padomes loceklim</t>
  </si>
  <si>
    <t xml:space="preserve">Informācija par nākamā gada (2020.gada) bāzes mēnešalgu apmēru </t>
  </si>
  <si>
    <t xml:space="preserve">Pašvaldības deputāts </t>
  </si>
  <si>
    <t xml:space="preserve">Likumā noteiktais koeficients </t>
  </si>
  <si>
    <t>Pašvaldības domes priekšsēdētāja vietnieks</t>
  </si>
  <si>
    <t xml:space="preserve">Pašvaldību ievēlēto amatpersonu mēnešalgas nedrīkst pārsniegt: </t>
  </si>
  <si>
    <t xml:space="preserve">Pašvaldības domes komitejas priekšsēdētājs </t>
  </si>
  <si>
    <t>Pašvaldības domes komitejas priekšsēdētāja vietnieks</t>
  </si>
  <si>
    <t>Centrālā vēlēšanu komisija</t>
  </si>
  <si>
    <t>CVK priekšsēdētājs</t>
  </si>
  <si>
    <t>CVK priekšsēdētāja vietnieks</t>
  </si>
  <si>
    <t>CVK sekretārs</t>
  </si>
  <si>
    <t>CVK loceklis</t>
  </si>
  <si>
    <t>Centrālā zemes komisija</t>
  </si>
  <si>
    <t>CZK priekšsēdētājs</t>
  </si>
  <si>
    <t xml:space="preserve">Augstākās izglītības padome </t>
  </si>
  <si>
    <t>AIP priekšsēdētājs</t>
  </si>
  <si>
    <t>AIP loceklis</t>
  </si>
  <si>
    <t>Datu valsts inspekcija</t>
  </si>
  <si>
    <t>Datu valsts inspekcijas amatpersonu (darbinieku) mēnešalgas maksimālais apmērs</t>
  </si>
  <si>
    <t>Konkurences padome</t>
  </si>
  <si>
    <t>Konkurences padomes amatpersonu (darbinieku) mēnešalgas maksimālais apmērs</t>
  </si>
  <si>
    <t xml:space="preserve">Nacionālās elektronisko plašsaziņas līdzekļu padome </t>
  </si>
  <si>
    <t>NEPLP priekšsēdētājs</t>
  </si>
  <si>
    <t>NEPLP priekšsēdētāja vietnieks</t>
  </si>
  <si>
    <t xml:space="preserve">NEPLP loceklis </t>
  </si>
  <si>
    <t>Tiesībsargs</t>
  </si>
  <si>
    <t>Valsts kontrole</t>
  </si>
  <si>
    <t>valsts kontrolieris</t>
  </si>
  <si>
    <t xml:space="preserve">padomes loceklis </t>
  </si>
  <si>
    <t>Inormācija par vēlēto amatpersonu un Saeimas iecelto amatpersonu mēnešalgu apmēru 2020.gadā</t>
  </si>
  <si>
    <t>Sabiedrisko pakalpojumu regulēšanas komisijas  amatpersonu (darbinieku) mēnešalgas maksimālais apmērs</t>
  </si>
  <si>
    <t>Finanšu un kapitāla tirgus komisija</t>
  </si>
  <si>
    <t>Kontroles dienesta amatpersonu (darbinieku) mēnešalgas maksimālais apmērs</t>
  </si>
  <si>
    <t xml:space="preserve">FKTK amatpersonu (darbinieku) mēnešalgas maksimālais apmērs </t>
  </si>
  <si>
    <t>Rajona (pilsētas) tiesas tiesnesis</t>
  </si>
  <si>
    <t>Rajona (pilsētas) prokurors</t>
  </si>
  <si>
    <t xml:space="preserve">Informācija par tiesnešu un prokuroru mēnešalgas apmēru 2020.gadā </t>
  </si>
  <si>
    <t>Saeimas deputāts</t>
  </si>
  <si>
    <t xml:space="preserve">Informācija par Saeimas deputātu, Ministru kabienta locekļu un parlamentāro sekretāru mēnešalgas apmēru 2020.gadā  </t>
  </si>
  <si>
    <t>Ministru prezidents</t>
  </si>
  <si>
    <t>Ministru prezidenta biedrs</t>
  </si>
  <si>
    <t>ministrs</t>
  </si>
  <si>
    <t>parlamentārais sekretārs</t>
  </si>
  <si>
    <t xml:space="preserve">Pašvaldības domes priekšsēdētājs </t>
  </si>
  <si>
    <t xml:space="preserve"> Noziedzīgi iegūtu līdzekļu legalizācijas novēršanas dienests (Kontroles dienests)</t>
  </si>
  <si>
    <r>
      <t>((5,5%+7,8%)/2+2,5%)/2 =</t>
    </r>
    <r>
      <rPr>
        <b/>
        <sz val="11"/>
        <color theme="1"/>
        <rFont val="Calibri"/>
        <family val="2"/>
        <charset val="186"/>
        <scheme val="minor"/>
      </rPr>
      <t>4,575%</t>
    </r>
  </si>
  <si>
    <r>
      <t>(3,6%+2,5%)/2=</t>
    </r>
    <r>
      <rPr>
        <b/>
        <sz val="11"/>
        <color theme="1"/>
        <rFont val="Calibri"/>
        <family val="2"/>
        <charset val="186"/>
        <scheme val="minor"/>
      </rPr>
      <t>3,05%</t>
    </r>
  </si>
  <si>
    <r>
      <t>(8,4%+2,5%)/2=</t>
    </r>
    <r>
      <rPr>
        <b/>
        <sz val="11"/>
        <color theme="1"/>
        <rFont val="Calibri"/>
        <family val="2"/>
        <charset val="186"/>
        <scheme val="minor"/>
      </rPr>
      <t>5,45%</t>
    </r>
  </si>
  <si>
    <t>Finanšu un kapitāla tirgus komisija, Noziedzīgi iegūtu līdzekļu legalizācijas novēršanas dienests (Kontroles dienests)</t>
  </si>
  <si>
    <t xml:space="preserve">Pamatojums: </t>
  </si>
  <si>
    <r>
      <t>Valsts un pašvaldību institūciju amatpersonu un darbinieku atlīdzības likuma 4.panta 2</t>
    </r>
    <r>
      <rPr>
        <vertAlign val="superscript"/>
        <sz val="11"/>
        <color theme="1"/>
        <rFont val="Calibri"/>
        <family val="2"/>
        <charset val="186"/>
        <scheme val="minor"/>
      </rPr>
      <t xml:space="preserve"> 1</t>
    </r>
    <r>
      <rPr>
        <sz val="11"/>
        <color theme="1"/>
        <rFont val="Calibri"/>
        <family val="2"/>
        <charset val="186"/>
        <scheme val="minor"/>
      </rPr>
      <t xml:space="preserve"> daļa </t>
    </r>
  </si>
  <si>
    <r>
      <t xml:space="preserve">apmērs bruto, </t>
    </r>
    <r>
      <rPr>
        <i/>
        <sz val="11"/>
        <color theme="1"/>
        <rFont val="Calibri"/>
        <family val="2"/>
        <charset val="186"/>
        <scheme val="minor"/>
      </rPr>
      <t>euro</t>
    </r>
  </si>
  <si>
    <r>
      <t xml:space="preserve">Bāzes alga 2020.gadam (bruto), </t>
    </r>
    <r>
      <rPr>
        <i/>
        <sz val="11"/>
        <color theme="1"/>
        <rFont val="Calibri"/>
        <family val="2"/>
        <charset val="186"/>
        <scheme val="minor"/>
      </rPr>
      <t>euro</t>
    </r>
  </si>
  <si>
    <t>Kārtējā gada bāzes mēnešalga 2020.gadam (bruto), euro</t>
  </si>
  <si>
    <t>Kārtējā gada mēnešalga (maksimālā mēnešalga) 2020.gadam (bruto), euro</t>
  </si>
  <si>
    <t xml:space="preserve">Ostu valdes locekļu mēnešalga </t>
  </si>
  <si>
    <t>transporta jomā strādājošo 2017.gada mēneša vidējās darba samaksas apmērs</t>
  </si>
  <si>
    <t xml:space="preserve">Informācija par ostu valdes locekļu mēnešalgas apmēru 2020.gadā </t>
  </si>
  <si>
    <t xml:space="preserve">Ostu valdes loceklis mazā ostā  </t>
  </si>
  <si>
    <t xml:space="preserve">MK noteikumos Nr. 741  noteiktais koeficients </t>
  </si>
  <si>
    <t xml:space="preserve">Ostu valdes loceklis vidējā ostā  </t>
  </si>
  <si>
    <t xml:space="preserve">Ostu valdes loceklis lielā ostā  </t>
  </si>
  <si>
    <t>iesaldēts</t>
  </si>
  <si>
    <t xml:space="preserve">Saeimas deputāts * </t>
  </si>
  <si>
    <t>* saskaņā ar likuma pārejas noteikumiem - atlīdzības pieaugums iesaldēts līdz 14.Saeimai</t>
  </si>
  <si>
    <r>
      <t>(7,2%+2,8%)/2=</t>
    </r>
    <r>
      <rPr>
        <b/>
        <sz val="11"/>
        <color theme="1"/>
        <rFont val="Calibri"/>
        <family val="2"/>
        <charset val="186"/>
        <scheme val="minor"/>
      </rPr>
      <t>5%</t>
    </r>
  </si>
  <si>
    <r>
      <t>(4,6%+2,8%)/2=</t>
    </r>
    <r>
      <rPr>
        <b/>
        <sz val="11"/>
        <color theme="1"/>
        <rFont val="Calibri"/>
        <family val="2"/>
        <charset val="186"/>
        <scheme val="minor"/>
      </rPr>
      <t>3,7%</t>
    </r>
  </si>
  <si>
    <r>
      <t>((8,7%+7,1%)/2+2,8%)/2 =</t>
    </r>
    <r>
      <rPr>
        <b/>
        <sz val="11"/>
        <color theme="1"/>
        <rFont val="Calibri"/>
        <family val="2"/>
        <charset val="186"/>
        <scheme val="minor"/>
      </rPr>
      <t>5,35%</t>
    </r>
  </si>
  <si>
    <r>
      <t>(7,1%+2,8%)/2=</t>
    </r>
    <r>
      <rPr>
        <b/>
        <sz val="11"/>
        <color theme="1"/>
        <rFont val="Calibri"/>
        <family val="2"/>
        <charset val="186"/>
        <scheme val="minor"/>
      </rPr>
      <t>4,95%</t>
    </r>
  </si>
  <si>
    <r>
      <t xml:space="preserve">Bāzes alga 2021.gadam (bruto), </t>
    </r>
    <r>
      <rPr>
        <i/>
        <sz val="11"/>
        <color theme="1"/>
        <rFont val="Calibri"/>
        <family val="2"/>
        <charset val="186"/>
        <scheme val="minor"/>
      </rPr>
      <t>euro</t>
    </r>
  </si>
  <si>
    <t>Indeksācijas aprēķins 2021.gadam</t>
  </si>
  <si>
    <t xml:space="preserve">Ostu valdes priekšsēdētājs mazā ostā  </t>
  </si>
  <si>
    <t xml:space="preserve">Ostu valdes priekšsēdētājs vidējā ostā  </t>
  </si>
  <si>
    <t xml:space="preserve">Ostu valdes priekšsēdētājs lielā ostā  </t>
  </si>
  <si>
    <t>Finanšu un kapitāla tirgus komisija, Finanšu izlūkošanas dienests</t>
  </si>
  <si>
    <t xml:space="preserve">Ostu valdes priekšsēdētāja mēnešalga </t>
  </si>
  <si>
    <t xml:space="preserve"> Bāzes alga 2020.gadam (bruto), euro</t>
  </si>
  <si>
    <t xml:space="preserve"> Finanšu izlūkošanas dienests </t>
  </si>
  <si>
    <t>Finanšu izlūkošanas dinesta amatpersonu (darbinieku) mēnešalgas maksimālais apmērs</t>
  </si>
  <si>
    <t>Nr.</t>
  </si>
  <si>
    <t>p. k.</t>
  </si>
  <si>
    <t>Mēnešalgu grupa</t>
  </si>
  <si>
    <t>Mēnešalgu intervāla koeficients pret bāzes mēnešalgu</t>
  </si>
  <si>
    <t>minimums</t>
  </si>
  <si>
    <t>viduspunkts</t>
  </si>
  <si>
    <t>maksimums</t>
  </si>
  <si>
    <t>1.</t>
  </si>
  <si>
    <t>2.</t>
  </si>
  <si>
    <t>3.</t>
  </si>
  <si>
    <t>4.</t>
  </si>
  <si>
    <t>5.</t>
  </si>
  <si>
    <t>6.</t>
  </si>
  <si>
    <t>7.</t>
  </si>
  <si>
    <t>8.</t>
  </si>
  <si>
    <t>9.</t>
  </si>
  <si>
    <t>10.</t>
  </si>
  <si>
    <t>11.</t>
  </si>
  <si>
    <t>12.</t>
  </si>
  <si>
    <t>13.</t>
  </si>
  <si>
    <t>14.</t>
  </si>
  <si>
    <t>15.</t>
  </si>
  <si>
    <t>16.</t>
  </si>
  <si>
    <t>Informācija par Korupcijas novēršanas un apkarošanas biroja amatpersonu  (darbinieku) mēnešalgu apmēru 2021.gadā *</t>
  </si>
  <si>
    <t>* saskaņā ar likuma grozījumiem, kas publicēti Latvijas Vēstnesī (2020,240A. nr.)</t>
  </si>
  <si>
    <r>
      <t xml:space="preserve">Mēnešalgu intervāls </t>
    </r>
    <r>
      <rPr>
        <i/>
        <sz val="11"/>
        <color theme="1"/>
        <rFont val="Calibri"/>
        <family val="2"/>
        <charset val="186"/>
        <scheme val="minor"/>
      </rPr>
      <t>euro (bāzes mēnešalga 1025,29 euro)</t>
    </r>
  </si>
  <si>
    <t>16) Sabiedrisko elektronisko plašsaziņas līdzekļu padomes priekšsēdētājam — 2,78;
17) Sabiedrisko elektronisko plašsaziņas līdzekļu padomes loceklim — 2,31</t>
  </si>
  <si>
    <t>Sabiedrisko elektronisko plašsaziņas līdzekļu ombuda mēnešalgu nosaka, bāzes mēnešalgas apmēram (4. panta otrā daļa) piemērojot koeficientu 2,78</t>
  </si>
  <si>
    <t xml:space="preserve">Sabiedrisko elektronisko plašsaziņas līdzekļu padome </t>
  </si>
  <si>
    <t>SEPLPP priekšsēdētājs</t>
  </si>
  <si>
    <t xml:space="preserve">SEPLPP loceklis </t>
  </si>
  <si>
    <t>Sabiedrisko elektronisko plašsaziņas līdzekļu ombuds</t>
  </si>
  <si>
    <t>Sabiedrisko elektronisko plašsaziņas līdzekļu ombuda mēnešalga</t>
  </si>
  <si>
    <r>
      <t xml:space="preserve">saskaita Centrālās statistikas pārvaldes oficiālajā statistikas paziņojumā publicēto </t>
    </r>
    <r>
      <rPr>
        <b/>
        <sz val="11"/>
        <color rgb="FFFF0000"/>
        <rFont val="Calibri"/>
        <family val="2"/>
        <charset val="186"/>
        <scheme val="minor"/>
      </rPr>
      <t>elektronisko sakaru un enerģētikas nozarē s</t>
    </r>
    <r>
      <rPr>
        <sz val="11"/>
        <color theme="1"/>
        <rFont val="Calibri"/>
        <family val="2"/>
        <charset val="186"/>
        <scheme val="minor"/>
      </rPr>
      <t>trādājošo aizpagājušā gada mēneša vidējās darba samaksas apmēra pieaugumu procentos pret iepriekšējo gadu ar aizpagājušā gada inflāciju procentos pret iepriekšējo gadu un attiecīgo summu dala ar divi</t>
    </r>
  </si>
  <si>
    <r>
      <t xml:space="preserve">saskaita Centrālās statistikas pārvaldes oficiālajā statistikas paziņojumā publicēto </t>
    </r>
    <r>
      <rPr>
        <b/>
        <sz val="11"/>
        <color rgb="FFFF0000"/>
        <rFont val="Calibri"/>
        <family val="2"/>
        <charset val="186"/>
        <scheme val="minor"/>
      </rPr>
      <t xml:space="preserve">finanšu un apdrošināšanas jomā strādājošo </t>
    </r>
    <r>
      <rPr>
        <sz val="11"/>
        <rFont val="Calibri"/>
        <family val="2"/>
        <charset val="186"/>
        <scheme val="minor"/>
      </rPr>
      <t>aizpagājušā gada mēneša vidējās darba samaksas apmēra pieaugumu procentos pret iepriekšējo gadu ar aizpagājušā gada inflāciju procentos pret iepriekšējo gadu un attiecīgo summu dala ar divi</t>
    </r>
  </si>
  <si>
    <t xml:space="preserve">Finanšu un apdrošināšanas darbības </t>
  </si>
  <si>
    <t>FKTK, FID</t>
  </si>
  <si>
    <t>pieaugums 2019 pret 2018</t>
  </si>
  <si>
    <t>pieaugums 2020 pret 2019</t>
  </si>
  <si>
    <t>Informācijas un komunikācijas pakalpojumi</t>
  </si>
  <si>
    <t>Elektroenerģija, gāzes apgāde, siltumapgāde un gaisa kondicionēšana</t>
  </si>
  <si>
    <t>Transports un uzglabāšana</t>
  </si>
  <si>
    <t xml:space="preserve">Vidēji valstī </t>
  </si>
  <si>
    <t>SPRK</t>
  </si>
  <si>
    <t>ostas</t>
  </si>
  <si>
    <t xml:space="preserve">pārejie </t>
  </si>
  <si>
    <t>Avots</t>
  </si>
  <si>
    <t>https://stat.gov.lv/lv/statistikas-temas/darbs/alga/preses-relizes/6568-darba-samaksa-2020-gada</t>
  </si>
  <si>
    <t xml:space="preserve">Inflācija </t>
  </si>
  <si>
    <t xml:space="preserve">Avots: </t>
  </si>
  <si>
    <t>https://www.apollo.lv/7153673/latvija-gada-videja-inflacija-pern-0-2</t>
  </si>
  <si>
    <t>https://www.fm.gov.lv/lv/galvenie-makroekonomiskie-raditaji-un-prognozes</t>
  </si>
  <si>
    <t>1025.29</t>
  </si>
  <si>
    <t>2052.84</t>
  </si>
  <si>
    <t>1492.8</t>
  </si>
  <si>
    <t>1109.32</t>
  </si>
  <si>
    <r>
      <t xml:space="preserve">Bāzes alga 2022.gadam (bruto), </t>
    </r>
    <r>
      <rPr>
        <i/>
        <sz val="11"/>
        <color theme="1"/>
        <rFont val="Calibri"/>
        <family val="2"/>
        <charset val="186"/>
        <scheme val="minor"/>
      </rPr>
      <t>euro</t>
    </r>
  </si>
  <si>
    <t>Indeksācijas aprēķins 2022.gadam</t>
  </si>
  <si>
    <r>
      <t>(6,2%+0,2%)/2 =</t>
    </r>
    <r>
      <rPr>
        <b/>
        <sz val="11"/>
        <color theme="1"/>
        <rFont val="Calibri"/>
        <family val="2"/>
        <charset val="186"/>
        <scheme val="minor"/>
      </rPr>
      <t>3,2%</t>
    </r>
  </si>
  <si>
    <r>
      <t xml:space="preserve">(3,8%+0,2%)/2 = </t>
    </r>
    <r>
      <rPr>
        <b/>
        <sz val="11"/>
        <color theme="1"/>
        <rFont val="Calibri"/>
        <family val="2"/>
        <charset val="186"/>
        <scheme val="minor"/>
      </rPr>
      <t>2%</t>
    </r>
  </si>
  <si>
    <r>
      <t xml:space="preserve">((7,8%+3,4%)/2+0,2%)/2 = </t>
    </r>
    <r>
      <rPr>
        <b/>
        <sz val="11"/>
        <color theme="1"/>
        <rFont val="Calibri"/>
        <family val="2"/>
        <charset val="186"/>
        <scheme val="minor"/>
      </rPr>
      <t>2,9%</t>
    </r>
  </si>
  <si>
    <r>
      <t>(-0,3%+0,2%)/2 =</t>
    </r>
    <r>
      <rPr>
        <b/>
        <sz val="11"/>
        <color rgb="FFFF0000"/>
        <rFont val="Calibri"/>
        <family val="2"/>
        <charset val="186"/>
        <scheme val="minor"/>
      </rPr>
      <t xml:space="preserve"> -0,05%</t>
    </r>
  </si>
  <si>
    <t>Aprēkins</t>
  </si>
  <si>
    <t>formula</t>
  </si>
  <si>
    <t>Saeimas deputāts (14. Saeima)</t>
  </si>
  <si>
    <t>Saeimas deputāts * (13.Saeima)</t>
  </si>
  <si>
    <t>Kārtējā gada mēnešalga (maksimālā mēnešalga) 2022.gadam (bruto), euro</t>
  </si>
  <si>
    <t>Informācija par vēlēto amatpersonu un Saeimas iecelto amatpersonu mēnešalgu apmēru 2022.gadā</t>
  </si>
  <si>
    <t xml:space="preserve">Informācija par tiesnešu un prokuroru mēnešalgas apmēru 2022.gadā </t>
  </si>
  <si>
    <t xml:space="preserve">Informācija par Saeimas deputātu, Ministru kabineta locekļu un parlamentāro sekretāru mēnešalgas apmēru 2022.gadā  </t>
  </si>
  <si>
    <t xml:space="preserve">Informācija par ostu valdes priekšsēdētāja mēnešalgas apmēru 2022.gadā </t>
  </si>
  <si>
    <r>
      <t xml:space="preserve">Mēnešalgu intervāls euro </t>
    </r>
    <r>
      <rPr>
        <i/>
        <sz val="11"/>
        <color theme="1"/>
        <rFont val="Calibri"/>
        <family val="2"/>
        <charset val="186"/>
        <scheme val="minor"/>
      </rPr>
      <t>(bāzes mēnešalga 1058,10 euro)</t>
    </r>
  </si>
  <si>
    <t>Nr. p.k.</t>
  </si>
  <si>
    <t xml:space="preserve">Informācija par 2022.gada bāzes mēnešalgu apmēru </t>
  </si>
  <si>
    <t>Rajona tiesas tiesnesis, rajona prokurors, Konkurences padome, Datu valsts inspekcija, pašvaldības deputāti, domes priekšsēdētājs, domes priekšsēdētāja vietnieks, domes komitejas priekšsēdētājs, domes komitejas priekšsēdētāja vietnieks, Saeimas deputātam, Ministru prezidentam, Ministru prezidenta biedram, ministram, paralamentārajam sekretāram, valsts kontrolierim, Valsts kontroles padomes locekļiem, tiesībsargam, NEPLP priekšsēdētājam, NEPLP priekšsēdētāja vietniekam, NEPLP loceklim, SEPLP priekšsēdētājam, SEPLP loceklim, CVK priekšsēdētājam, CVK priekšsēdētāja vietniekam, CVK sekretāram, CVK loceklim, Augstākās izglītības padomes priekšsēdētājam, Augstākās izglītības padomes loceklim</t>
  </si>
  <si>
    <t>saskaita Centrālās statistikas pārvaldes oficiālajā statistikas paziņojumā publicēto transporta jomā strādājošo aizpagājušā gada mēneša vidējās darba samaksas apmēra pieaugumu procentos pret iepriekšējo gadu ar aizpagājušā gada inflāciju procentos pret iepriekšējo gadu un attiecīgo summu dala ar divi</t>
  </si>
  <si>
    <t>Kārtējā gada mēnešalga 2022.gadam (bruto), euro</t>
  </si>
  <si>
    <t>Kārtējā gada  mēnešalga 2022.gadam (bruto), euro</t>
  </si>
  <si>
    <t>Mēnešalgu intervāli</t>
  </si>
  <si>
    <t>(koeficienti pret bāzes mēnešalgu)</t>
  </si>
  <si>
    <t>minimums*</t>
  </si>
  <si>
    <t>17.</t>
  </si>
  <si>
    <t>minimums**</t>
  </si>
  <si>
    <t>**3. pielikumā noteiktais minimums valsts un pašvaldības institūcijai jāsasniedz līdz 2027. gada 1. janvārim.</t>
  </si>
  <si>
    <t>spēkā no 01.07.2022.</t>
  </si>
  <si>
    <t>Likuma 3. pielikums</t>
  </si>
  <si>
    <t>Mēneš-algu grupa Likum-projektā</t>
  </si>
  <si>
    <r>
      <t xml:space="preserve">Minimums </t>
    </r>
    <r>
      <rPr>
        <b/>
        <i/>
        <sz val="11"/>
        <color theme="1"/>
        <rFont val="Times New Roman"/>
        <family val="1"/>
        <charset val="186"/>
      </rPr>
      <t>euro</t>
    </r>
  </si>
  <si>
    <r>
      <t xml:space="preserve">Viduspunkts, </t>
    </r>
    <r>
      <rPr>
        <b/>
        <i/>
        <sz val="11"/>
        <color theme="1"/>
        <rFont val="Times New Roman"/>
        <family val="1"/>
        <charset val="186"/>
      </rPr>
      <t>euro</t>
    </r>
  </si>
  <si>
    <r>
      <t xml:space="preserve">Maksimums </t>
    </r>
    <r>
      <rPr>
        <b/>
        <i/>
        <sz val="11"/>
        <color theme="1"/>
        <rFont val="Times New Roman"/>
        <family val="1"/>
        <charset val="186"/>
      </rPr>
      <t>euro</t>
    </r>
  </si>
  <si>
    <t> -</t>
  </si>
  <si>
    <t>- </t>
  </si>
  <si>
    <t>(euro)</t>
  </si>
  <si>
    <r>
      <t>Informācija par Korupcijas novēršanas un apkarošanas biroja amatpersonu  (darbinieku) mēnešalgu apmēru 2022.gadā (</t>
    </r>
    <r>
      <rPr>
        <b/>
        <sz val="11"/>
        <color rgb="FFFF0000"/>
        <rFont val="Calibri"/>
        <family val="2"/>
        <charset val="186"/>
        <scheme val="minor"/>
      </rPr>
      <t>līdz 30.06.2022.)</t>
    </r>
  </si>
  <si>
    <t>līdz 30.06.2022.</t>
  </si>
  <si>
    <t>no 01.07.2022.</t>
  </si>
  <si>
    <t xml:space="preserve">Galvaspilsētas domes priekšsēdētājam </t>
  </si>
  <si>
    <t>Galvaspilsētas domes priekšsēdētāja vietniekam, valstspilsētas domes un novada domes priekšsēdētājam, ja attiecīgās pašvaldības administratīvajā teritorijā iedzīvotāju skaits pārsniedz 20 000</t>
  </si>
  <si>
    <t>Valstspilsētas domes un novada domes priekšsēdētājam, ja attiecīgās pašvaldības administratīvajā teritorijā iedzīvotāju skaits nepārsniedz 20 000</t>
  </si>
  <si>
    <t xml:space="preserve">Valstspilsētas domes un novada domes priekšsēdētāja vietniekam, ja attiecīgās pašvaldības administratīvajā teritorijā iedzīvotāju skaits pārsniedz 20 000 </t>
  </si>
  <si>
    <t>Valstspilsētas domes un novada domes priekšsēdētāja vietniekam, ja attiecīgās pašvaldības administratīvajā teritorijā iedzīvotāju skaits nepārsniedz 20 000</t>
  </si>
  <si>
    <t xml:space="preserve">Galvaspilsētas domes komitejas priekšsēdētājam </t>
  </si>
  <si>
    <t xml:space="preserve">Galvaspilsētas domes komitejas priekšsēdētāja vietniekam, valstspilsētas domes un novada domes komitejas priekšsēdētājam </t>
  </si>
  <si>
    <t xml:space="preserve">Valstspilsētas domes un novada domes komitejas priekšsēdētāja vietniekam </t>
  </si>
  <si>
    <t>Galvaspilsētas domes deputātam</t>
  </si>
  <si>
    <t>Valstspilsētas domes un novada domes deputātam, ja attiecīgās pašvaldības administratīvajā teritorijā iedzīvotāju skaits pārsniedz 20 000</t>
  </si>
  <si>
    <t>Valstspilsētas domes un novada domes deputātam, ja attiecīgās pašvaldības administratīvajā teritorijā iedzīvotāju skaits nepārsniedz 20 000</t>
  </si>
  <si>
    <r>
      <rPr>
        <b/>
        <i/>
        <sz val="11"/>
        <color theme="1"/>
        <rFont val="Calibri"/>
        <family val="2"/>
        <charset val="186"/>
        <scheme val="minor"/>
      </rPr>
      <t>Pašvaldību ievēlēto amatpersonu mēnešalgas</t>
    </r>
    <r>
      <rPr>
        <i/>
        <sz val="11"/>
        <color theme="1"/>
        <rFont val="Calibri"/>
        <family val="2"/>
        <charset val="186"/>
        <scheme val="minor"/>
      </rPr>
      <t xml:space="preserve"> nedrīkst pārsniegt: </t>
    </r>
  </si>
  <si>
    <t>Valsts kontrolieris</t>
  </si>
  <si>
    <t xml:space="preserve">Valsts kontroles padomes loceklis </t>
  </si>
  <si>
    <t>Ministrs</t>
  </si>
  <si>
    <t>Parlamentārais sekretārs</t>
  </si>
  <si>
    <r>
      <t xml:space="preserve">Mēnešalgu skala ar intervāliem valsts un pašvaldību institūcijās nodarbinātajiem ierēdņiem un darbiniekiem (t.sk. arī KNAB un VID) - izteikta </t>
    </r>
    <r>
      <rPr>
        <i/>
        <sz val="11"/>
        <color theme="1"/>
        <rFont val="Calibri"/>
        <family val="2"/>
        <charset val="186"/>
        <scheme val="minor"/>
      </rPr>
      <t>euro (</t>
    </r>
    <r>
      <rPr>
        <sz val="11"/>
        <color theme="1"/>
        <rFont val="Calibri"/>
        <family val="2"/>
        <charset val="186"/>
        <scheme val="minor"/>
      </rPr>
      <t>likuma 3.pielikums)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</si>
</sst>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sz val="11"/>
      <name val="Calibri"/>
      <family val="2"/>
      <charset val="186"/>
      <scheme val="minor"/>
    </font>
    <font>
      <vertAlign val="superscript"/>
      <sz val="11"/>
      <color theme="1"/>
      <name val="Calibri"/>
      <family val="2"/>
      <charset val="186"/>
      <scheme val="minor"/>
    </font>
    <font>
      <sz val="11"/>
      <color rgb="FF333333"/>
      <name val="PT Serif"/>
      <family val="1"/>
      <charset val="186"/>
    </font>
    <font>
      <sz val="12"/>
      <color rgb="FF333333"/>
      <name val="Calibri"/>
      <family val="2"/>
      <charset val="186"/>
      <scheme val="minor"/>
    </font>
    <font>
      <sz val="12"/>
      <color theme="1"/>
      <name val="Calibri"/>
      <family val="2"/>
      <charset val="186"/>
      <scheme val="minor"/>
    </font>
    <font>
      <sz val="11"/>
      <color rgb="FFFF0000"/>
      <name val="Calibri"/>
      <family val="2"/>
      <charset val="186"/>
      <scheme val="minor"/>
    </font>
    <font>
      <b/>
      <sz val="11"/>
      <color rgb="FFFF0000"/>
      <name val="Calibri"/>
      <family val="2"/>
      <charset val="186"/>
      <scheme val="minor"/>
    </font>
    <font>
      <u/>
      <sz val="11"/>
      <color theme="10"/>
      <name val="Calibri"/>
      <family val="2"/>
      <charset val="186"/>
      <scheme val="minor"/>
    </font>
    <font>
      <sz val="8"/>
      <color theme="1"/>
      <name val="Calibri"/>
      <family val="2"/>
      <charset val="186"/>
      <scheme val="minor"/>
    </font>
    <font>
      <sz val="8"/>
      <color rgb="FF333333"/>
      <name val="PT Serif"/>
      <family val="1"/>
      <charset val="186"/>
    </font>
    <font>
      <sz val="12"/>
      <color theme="1"/>
      <name val="Times New Roman"/>
      <family val="1"/>
      <charset val="186"/>
    </font>
    <font>
      <sz val="13"/>
      <color rgb="FF333333"/>
      <name val="Times New Roman"/>
      <family val="1"/>
      <charset val="186"/>
    </font>
    <font>
      <sz val="11"/>
      <color theme="1"/>
      <name val="Times New Roman"/>
      <family val="1"/>
      <charset val="186"/>
    </font>
    <font>
      <sz val="12"/>
      <color rgb="FF000000"/>
      <name val="Times New Roman"/>
      <family val="1"/>
      <charset val="186"/>
    </font>
    <font>
      <b/>
      <i/>
      <sz val="11"/>
      <color theme="1"/>
      <name val="Times New Roman"/>
      <family val="1"/>
      <charset val="186"/>
    </font>
    <font>
      <sz val="11"/>
      <color rgb="FF000000"/>
      <name val="Times New Roman"/>
      <family val="1"/>
      <charset val="186"/>
    </font>
    <font>
      <sz val="11"/>
      <color rgb="FF000000"/>
      <name val="Calibri"/>
      <family val="2"/>
      <charset val="186"/>
      <scheme val="minor"/>
    </font>
    <font>
      <b/>
      <i/>
      <sz val="11"/>
      <color rgb="FFFF0000"/>
      <name val="Calibri"/>
      <family val="2"/>
      <charset val="186"/>
      <scheme val="minor"/>
    </font>
    <font>
      <sz val="11"/>
      <color rgb="FF333333"/>
      <name val="Calibri"/>
      <family val="2"/>
      <charset val="186"/>
      <scheme val="minor"/>
    </font>
    <font>
      <b/>
      <i/>
      <sz val="11"/>
      <color theme="1"/>
      <name val="Calibri"/>
      <family val="2"/>
      <charset val="186"/>
      <scheme val="minor"/>
    </font>
  </fonts>
  <fills count="3">
    <fill>
      <patternFill patternType="none"/>
    </fill>
    <fill>
      <patternFill patternType="gray125"/>
    </fill>
    <fill>
      <patternFill patternType="solid">
        <fgColor rgb="FFFF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817F7F"/>
      </left>
      <right style="medium">
        <color rgb="FF817F7F"/>
      </right>
      <top style="medium">
        <color rgb="FF817F7F"/>
      </top>
      <bottom style="medium">
        <color rgb="FF817F7F"/>
      </bottom>
      <diagonal/>
    </border>
    <border>
      <left style="medium">
        <color rgb="FF817F7F"/>
      </left>
      <right style="medium">
        <color rgb="FF817F7F"/>
      </right>
      <top style="medium">
        <color rgb="FF817F7F"/>
      </top>
      <bottom/>
      <diagonal/>
    </border>
    <border>
      <left style="medium">
        <color rgb="FF817F7F"/>
      </left>
      <right style="medium">
        <color rgb="FF817F7F"/>
      </right>
      <top/>
      <bottom style="medium">
        <color rgb="FF817F7F"/>
      </bottom>
      <diagonal/>
    </border>
    <border>
      <left style="medium">
        <color rgb="FF817F7F"/>
      </left>
      <right/>
      <top style="medium">
        <color rgb="FF817F7F"/>
      </top>
      <bottom style="medium">
        <color rgb="FF817F7F"/>
      </bottom>
      <diagonal/>
    </border>
    <border>
      <left/>
      <right/>
      <top style="medium">
        <color rgb="FF817F7F"/>
      </top>
      <bottom style="medium">
        <color rgb="FF817F7F"/>
      </bottom>
      <diagonal/>
    </border>
    <border>
      <left/>
      <right style="medium">
        <color rgb="FF817F7F"/>
      </right>
      <top style="medium">
        <color rgb="FF817F7F"/>
      </top>
      <bottom style="medium">
        <color rgb="FF81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24">
    <xf numFmtId="0" fontId="0" fillId="0" borderId="0" xfId="0"/>
    <xf numFmtId="0" fontId="0" fillId="0" borderId="0" xfId="0" applyAlignment="1">
      <alignment wrapText="1"/>
    </xf>
    <xf numFmtId="0" fontId="0" fillId="0" borderId="0" xfId="0" applyAlignment="1">
      <alignment horizontal="center"/>
    </xf>
    <xf numFmtId="0" fontId="1" fillId="0" borderId="1" xfId="0" applyFon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3" fillId="0" borderId="1" xfId="0" applyFont="1" applyBorder="1" applyAlignment="1">
      <alignment wrapText="1"/>
    </xf>
    <xf numFmtId="0" fontId="0" fillId="0" borderId="1" xfId="0" applyBorder="1" applyAlignment="1">
      <alignment vertical="center" wrapText="1"/>
    </xf>
    <xf numFmtId="0" fontId="0" fillId="0" borderId="1" xfId="0" applyBorder="1"/>
    <xf numFmtId="0" fontId="2" fillId="0" borderId="1" xfId="0" applyFont="1" applyBorder="1" applyAlignment="1">
      <alignment horizontal="center"/>
    </xf>
    <xf numFmtId="0" fontId="0" fillId="0" borderId="1" xfId="0" applyBorder="1" applyAlignment="1">
      <alignment horizontal="right"/>
    </xf>
    <xf numFmtId="0" fontId="0" fillId="0" borderId="1" xfId="0" applyBorder="1" applyAlignment="1">
      <alignment horizontal="center" vertical="center" wrapText="1"/>
    </xf>
    <xf numFmtId="0" fontId="0" fillId="0" borderId="0" xfId="0" applyAlignment="1">
      <alignment horizontal="right"/>
    </xf>
    <xf numFmtId="0" fontId="1" fillId="0" borderId="0" xfId="0" applyFont="1" applyAlignment="1">
      <alignment horizontal="center"/>
    </xf>
    <xf numFmtId="1" fontId="0" fillId="0" borderId="1" xfId="0" applyNumberFormat="1" applyBorder="1"/>
    <xf numFmtId="1" fontId="0" fillId="0" borderId="1" xfId="0" applyNumberFormat="1" applyBorder="1" applyAlignment="1">
      <alignment horizontal="right"/>
    </xf>
    <xf numFmtId="0" fontId="0" fillId="0" borderId="1" xfId="0" applyBorder="1" applyAlignment="1">
      <alignment vertical="center"/>
    </xf>
    <xf numFmtId="0" fontId="0" fillId="0" borderId="1" xfId="0" applyBorder="1" applyAlignment="1">
      <alignment horizontal="center"/>
    </xf>
    <xf numFmtId="0" fontId="0" fillId="0" borderId="1" xfId="0" applyBorder="1" applyAlignment="1">
      <alignment horizontal="right"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1" fontId="7" fillId="0" borderId="1" xfId="0" applyNumberFormat="1" applyFont="1" applyBorder="1"/>
    <xf numFmtId="1" fontId="0" fillId="0" borderId="1" xfId="0" applyNumberFormat="1" applyBorder="1" applyAlignment="1">
      <alignment horizontal="center"/>
    </xf>
    <xf numFmtId="0" fontId="0" fillId="0" borderId="2" xfId="0" applyBorder="1" applyAlignment="1">
      <alignment wrapText="1"/>
    </xf>
    <xf numFmtId="0" fontId="0" fillId="0" borderId="3" xfId="0" applyBorder="1"/>
    <xf numFmtId="0" fontId="0" fillId="0" borderId="0" xfId="0" applyAlignment="1">
      <alignment horizontal="left" wrapText="1"/>
    </xf>
    <xf numFmtId="10" fontId="0" fillId="0" borderId="0" xfId="0" applyNumberFormat="1"/>
    <xf numFmtId="0" fontId="8" fillId="0" borderId="0" xfId="0" applyFont="1"/>
    <xf numFmtId="0" fontId="9" fillId="0" borderId="0" xfId="0" applyFont="1"/>
    <xf numFmtId="0" fontId="11" fillId="0" borderId="1" xfId="0" applyFont="1" applyBorder="1" applyAlignment="1">
      <alignment wrapText="1"/>
    </xf>
    <xf numFmtId="0" fontId="10" fillId="0" borderId="0" xfId="1" applyAlignment="1">
      <alignment wrapText="1"/>
    </xf>
    <xf numFmtId="2" fontId="1" fillId="0" borderId="1" xfId="0" applyNumberFormat="1" applyFont="1" applyBorder="1" applyAlignment="1">
      <alignment horizontal="center" vertical="center"/>
    </xf>
    <xf numFmtId="2" fontId="0" fillId="0" borderId="1" xfId="0" applyNumberFormat="1" applyBorder="1"/>
    <xf numFmtId="2" fontId="0" fillId="0" borderId="0" xfId="0" applyNumberFormat="1" applyAlignment="1">
      <alignment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4" xfId="0" applyFont="1" applyFill="1" applyBorder="1" applyAlignment="1">
      <alignment horizontal="center" vertical="center" wrapText="1"/>
    </xf>
    <xf numFmtId="1" fontId="12" fillId="2" borderId="4" xfId="0" applyNumberFormat="1" applyFont="1" applyFill="1" applyBorder="1" applyAlignment="1">
      <alignment horizontal="center" vertical="center" wrapText="1"/>
    </xf>
    <xf numFmtId="0" fontId="8" fillId="0" borderId="1" xfId="0" applyFont="1" applyBorder="1"/>
    <xf numFmtId="0" fontId="13" fillId="0" borderId="0" xfId="0" applyFont="1" applyAlignment="1">
      <alignment vertical="center" wrapText="1"/>
    </xf>
    <xf numFmtId="0" fontId="14" fillId="2" borderId="20" xfId="0" applyFont="1" applyFill="1" applyBorder="1" applyAlignment="1">
      <alignment horizontal="center" vertical="center"/>
    </xf>
    <xf numFmtId="0" fontId="14" fillId="2" borderId="16" xfId="0" applyFont="1" applyFill="1" applyBorder="1" applyAlignment="1">
      <alignment horizontal="center" vertical="center"/>
    </xf>
    <xf numFmtId="0" fontId="15" fillId="0" borderId="1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3" xfId="0" applyFont="1" applyBorder="1" applyAlignment="1">
      <alignment horizontal="center" vertical="center"/>
    </xf>
    <xf numFmtId="0" fontId="16" fillId="0" borderId="16" xfId="0" applyFont="1" applyBorder="1" applyAlignment="1">
      <alignment horizontal="center" vertical="center"/>
    </xf>
    <xf numFmtId="0" fontId="16" fillId="2" borderId="20" xfId="0" applyFont="1" applyFill="1" applyBorder="1" applyAlignment="1">
      <alignment horizontal="center" vertical="center" wrapText="1"/>
    </xf>
    <xf numFmtId="0" fontId="18" fillId="0" borderId="20" xfId="0" applyFont="1" applyBorder="1" applyAlignment="1">
      <alignment horizontal="center" vertical="center"/>
    </xf>
    <xf numFmtId="0" fontId="16" fillId="2" borderId="16" xfId="0" applyFont="1" applyFill="1" applyBorder="1" applyAlignment="1">
      <alignment horizontal="center" vertical="center" wrapText="1"/>
    </xf>
    <xf numFmtId="0" fontId="19" fillId="0" borderId="0" xfId="0" applyFont="1"/>
    <xf numFmtId="0" fontId="19" fillId="0" borderId="1" xfId="0" applyFont="1" applyBorder="1" applyAlignment="1">
      <alignment wrapText="1"/>
    </xf>
    <xf numFmtId="0" fontId="19" fillId="0" borderId="1" xfId="0" applyFont="1" applyBorder="1" applyAlignment="1">
      <alignment horizontal="justify" vertical="center" wrapText="1"/>
    </xf>
    <xf numFmtId="0" fontId="21" fillId="2" borderId="20" xfId="0" applyFont="1" applyFill="1" applyBorder="1" applyAlignment="1">
      <alignment horizontal="center" vertical="center"/>
    </xf>
    <xf numFmtId="0" fontId="21" fillId="2" borderId="16" xfId="0" applyFont="1" applyFill="1" applyBorder="1" applyAlignment="1">
      <alignment horizontal="center" vertical="center"/>
    </xf>
    <xf numFmtId="1" fontId="21" fillId="2" borderId="20" xfId="0" applyNumberFormat="1" applyFont="1" applyFill="1" applyBorder="1" applyAlignment="1">
      <alignment horizontal="center" vertical="center"/>
    </xf>
    <xf numFmtId="0" fontId="0" fillId="0" borderId="0" xfId="0" applyAlignment="1">
      <alignment horizontal="right" wrapText="1"/>
    </xf>
    <xf numFmtId="0" fontId="1" fillId="0" borderId="0" xfId="0" applyFont="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2" fillId="0" borderId="1"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center" wrapText="1"/>
    </xf>
    <xf numFmtId="0" fontId="22" fillId="0" borderId="1" xfId="0" applyFont="1" applyBorder="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20" fillId="0" borderId="12"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0" fillId="0" borderId="0" xfId="0" applyAlignment="1">
      <alignment horizontal="left"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21"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0" xfId="0" applyFont="1" applyFill="1" applyAlignment="1">
      <alignment horizontal="center" vertical="center"/>
    </xf>
    <xf numFmtId="0" fontId="14" fillId="2" borderId="19" xfId="0" applyFont="1" applyFill="1" applyBorder="1" applyAlignment="1">
      <alignment horizontal="center" vertical="center"/>
    </xf>
    <xf numFmtId="0" fontId="13" fillId="0" borderId="22" xfId="0" applyFont="1" applyBorder="1" applyAlignment="1">
      <alignment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21"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26" xfId="0" applyFont="1" applyFill="1" applyBorder="1" applyAlignment="1">
      <alignment horizontal="center" vertical="center"/>
    </xf>
    <xf numFmtId="0" fontId="0" fillId="0" borderId="1" xfId="0" applyBorder="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fm.gov.lv/lv/galvenie-makroekonomiskie-raditaji-un-prognozes" TargetMode="External"/><Relationship Id="rId2" Type="http://schemas.openxmlformats.org/officeDocument/2006/relationships/hyperlink" Target="https://www.apollo.lv/7153673/latvija-gada-videja-inflacija-pern-0-2" TargetMode="External"/><Relationship Id="rId1" Type="http://schemas.openxmlformats.org/officeDocument/2006/relationships/hyperlink" Target="https://stat.gov.lv/lv/statistikas-temas/darbs/alga/preses-relizes/6568-darba-samaksa-2020-gada"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
  <sheetViews>
    <sheetView topLeftCell="A2" zoomScaleNormal="100" workbookViewId="0">
      <selection activeCell="A2" sqref="A1:XFD1048576"/>
    </sheetView>
  </sheetViews>
  <sheetFormatPr defaultRowHeight="14.4" x14ac:dyDescent="0.3"/>
  <cols>
    <col min="1" max="1" width="4.44140625" customWidth="1"/>
    <col min="2" max="2" width="48.44140625" customWidth="1"/>
    <col min="3" max="3" width="34.88671875" customWidth="1"/>
    <col min="4" max="4" width="18" customWidth="1"/>
    <col min="5" max="5" width="30.88671875" customWidth="1"/>
    <col min="6" max="6" width="24.44140625" customWidth="1"/>
    <col min="7" max="7" width="18.33203125" customWidth="1"/>
    <col min="8" max="8" width="9.109375" hidden="1" customWidth="1"/>
  </cols>
  <sheetData>
    <row r="1" spans="2:8" x14ac:dyDescent="0.3">
      <c r="G1" s="12" t="s">
        <v>62</v>
      </c>
    </row>
    <row r="2" spans="2:8" ht="29.25" customHeight="1" x14ac:dyDescent="0.3">
      <c r="E2" s="60" t="s">
        <v>63</v>
      </c>
      <c r="F2" s="60"/>
      <c r="G2" s="60"/>
    </row>
    <row r="4" spans="2:8" x14ac:dyDescent="0.3">
      <c r="B4" s="61" t="s">
        <v>13</v>
      </c>
      <c r="C4" s="61"/>
      <c r="D4" s="61"/>
      <c r="E4" s="61"/>
      <c r="F4" s="61"/>
      <c r="G4" s="61"/>
    </row>
    <row r="7" spans="2:8" x14ac:dyDescent="0.3">
      <c r="B7" s="64" t="s">
        <v>6</v>
      </c>
      <c r="C7" s="62" t="s">
        <v>1</v>
      </c>
      <c r="D7" s="62"/>
      <c r="E7" s="63" t="s">
        <v>2</v>
      </c>
      <c r="F7" s="63" t="s">
        <v>11</v>
      </c>
      <c r="G7" s="63" t="s">
        <v>65</v>
      </c>
    </row>
    <row r="8" spans="2:8" s="1" customFormat="1" ht="32.25" customHeight="1" x14ac:dyDescent="0.3">
      <c r="B8" s="64"/>
      <c r="C8" s="7" t="s">
        <v>0</v>
      </c>
      <c r="D8" s="7" t="s">
        <v>64</v>
      </c>
      <c r="E8" s="63"/>
      <c r="F8" s="63"/>
      <c r="G8" s="63"/>
    </row>
    <row r="9" spans="2:8" ht="187.2" x14ac:dyDescent="0.3">
      <c r="B9" s="4" t="s">
        <v>12</v>
      </c>
      <c r="C9" s="7" t="s">
        <v>8</v>
      </c>
      <c r="D9" s="5">
        <v>926</v>
      </c>
      <c r="E9" s="7" t="s">
        <v>7</v>
      </c>
      <c r="F9" s="7" t="s">
        <v>60</v>
      </c>
      <c r="G9" s="3">
        <v>976.47</v>
      </c>
      <c r="H9">
        <f>926*1.0545</f>
        <v>976.46699999999998</v>
      </c>
    </row>
    <row r="10" spans="2:8" ht="144" x14ac:dyDescent="0.3">
      <c r="B10" s="7" t="s">
        <v>61</v>
      </c>
      <c r="C10" s="7" t="s">
        <v>9</v>
      </c>
      <c r="D10" s="5">
        <v>1921</v>
      </c>
      <c r="E10" s="6" t="s">
        <v>4</v>
      </c>
      <c r="F10" s="5" t="s">
        <v>59</v>
      </c>
      <c r="G10" s="3">
        <v>1979.59</v>
      </c>
      <c r="H10">
        <f>1921*1.0305</f>
        <v>1979.5905</v>
      </c>
    </row>
    <row r="11" spans="2:8" ht="158.4" x14ac:dyDescent="0.3">
      <c r="B11" s="7" t="s">
        <v>3</v>
      </c>
      <c r="C11" s="7" t="s">
        <v>10</v>
      </c>
      <c r="D11" s="5">
        <v>1355</v>
      </c>
      <c r="E11" s="4" t="s">
        <v>5</v>
      </c>
      <c r="F11" s="11" t="s">
        <v>58</v>
      </c>
      <c r="G11" s="3">
        <v>1416.99</v>
      </c>
      <c r="H11">
        <f>1355*1.04575</f>
        <v>1416.99125</v>
      </c>
    </row>
    <row r="12" spans="2:8" ht="144" x14ac:dyDescent="0.3">
      <c r="B12" s="16" t="s">
        <v>68</v>
      </c>
      <c r="C12" s="7" t="s">
        <v>69</v>
      </c>
      <c r="D12" s="5">
        <v>918</v>
      </c>
      <c r="E12" s="7" t="s">
        <v>7</v>
      </c>
      <c r="F12" s="7" t="s">
        <v>60</v>
      </c>
      <c r="G12" s="3">
        <v>968.03</v>
      </c>
      <c r="H12">
        <f>918*1.0545</f>
        <v>968.03099999999995</v>
      </c>
    </row>
  </sheetData>
  <mergeCells count="7">
    <mergeCell ref="E2:G2"/>
    <mergeCell ref="B4:G4"/>
    <mergeCell ref="C7:D7"/>
    <mergeCell ref="F7:F8"/>
    <mergeCell ref="G7:G8"/>
    <mergeCell ref="E7:E8"/>
    <mergeCell ref="B7:B8"/>
  </mergeCells>
  <pageMargins left="0.70866141732283472" right="0.70866141732283472" top="0.74803149606299213" bottom="0.74803149606299213" header="0.31496062992125984" footer="0.31496062992125984"/>
  <pageSetup paperSize="9" scale="6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DEE57-9473-40E5-9F87-956AEED8B72C}">
  <dimension ref="B1:K12"/>
  <sheetViews>
    <sheetView topLeftCell="A10" zoomScale="80" zoomScaleNormal="80" workbookViewId="0">
      <selection activeCell="P11" sqref="P11"/>
    </sheetView>
  </sheetViews>
  <sheetFormatPr defaultRowHeight="14.4" x14ac:dyDescent="0.3"/>
  <cols>
    <col min="1" max="1" width="4.44140625" customWidth="1"/>
    <col min="2" max="2" width="48.44140625" customWidth="1"/>
    <col min="3" max="3" width="20" hidden="1" customWidth="1"/>
    <col min="4" max="4" width="20" customWidth="1"/>
    <col min="5" max="5" width="30.88671875" customWidth="1"/>
    <col min="6" max="6" width="24.44140625" hidden="1" customWidth="1"/>
    <col min="7" max="7" width="24.44140625" customWidth="1"/>
    <col min="8" max="8" width="18.33203125" hidden="1" customWidth="1"/>
    <col min="9" max="9" width="9.109375" hidden="1" customWidth="1"/>
    <col min="10" max="10" width="17.33203125" customWidth="1"/>
    <col min="11" max="11" width="0" hidden="1" customWidth="1"/>
  </cols>
  <sheetData>
    <row r="1" spans="2:11" x14ac:dyDescent="0.3">
      <c r="H1" s="12" t="s">
        <v>62</v>
      </c>
    </row>
    <row r="2" spans="2:11" ht="29.25" customHeight="1" x14ac:dyDescent="0.3">
      <c r="E2" s="60" t="s">
        <v>63</v>
      </c>
      <c r="F2" s="60"/>
      <c r="G2" s="60"/>
      <c r="H2" s="60"/>
    </row>
    <row r="4" spans="2:11" x14ac:dyDescent="0.3">
      <c r="B4" s="61" t="s">
        <v>165</v>
      </c>
      <c r="C4" s="61"/>
      <c r="D4" s="61"/>
      <c r="E4" s="61"/>
      <c r="F4" s="61"/>
      <c r="G4" s="61"/>
      <c r="H4" s="61"/>
    </row>
    <row r="7" spans="2:11" ht="21.75" customHeight="1" x14ac:dyDescent="0.3">
      <c r="B7" s="64" t="s">
        <v>6</v>
      </c>
      <c r="C7" s="65" t="s">
        <v>89</v>
      </c>
      <c r="D7" s="63" t="s">
        <v>82</v>
      </c>
      <c r="E7" s="63" t="s">
        <v>2</v>
      </c>
      <c r="F7" s="63" t="s">
        <v>83</v>
      </c>
      <c r="G7" s="63" t="s">
        <v>149</v>
      </c>
      <c r="H7" s="63" t="s">
        <v>82</v>
      </c>
      <c r="J7" s="63" t="s">
        <v>148</v>
      </c>
      <c r="K7" t="s">
        <v>154</v>
      </c>
    </row>
    <row r="8" spans="2:11" s="1" customFormat="1" ht="48.75" customHeight="1" x14ac:dyDescent="0.3">
      <c r="B8" s="64"/>
      <c r="C8" s="66"/>
      <c r="D8" s="63"/>
      <c r="E8" s="63"/>
      <c r="F8" s="63"/>
      <c r="G8" s="63"/>
      <c r="H8" s="63"/>
      <c r="J8" s="63"/>
      <c r="K8" s="1" t="s">
        <v>155</v>
      </c>
    </row>
    <row r="9" spans="2:11" ht="201.6" x14ac:dyDescent="0.3">
      <c r="B9" s="4" t="s">
        <v>166</v>
      </c>
      <c r="C9" s="5">
        <v>976.47</v>
      </c>
      <c r="D9" s="5" t="s">
        <v>144</v>
      </c>
      <c r="E9" s="7" t="s">
        <v>7</v>
      </c>
      <c r="F9" s="7" t="s">
        <v>78</v>
      </c>
      <c r="G9" s="11" t="s">
        <v>150</v>
      </c>
      <c r="H9" s="3">
        <v>1025.29</v>
      </c>
      <c r="I9">
        <f>926*1.0545</f>
        <v>976.46699999999998</v>
      </c>
      <c r="J9" s="36">
        <v>1058.0999999999999</v>
      </c>
      <c r="K9">
        <f>1025.29*1.032</f>
        <v>1058.0992799999999</v>
      </c>
    </row>
    <row r="10" spans="2:11" ht="144" x14ac:dyDescent="0.3">
      <c r="B10" s="7" t="s">
        <v>87</v>
      </c>
      <c r="C10" s="5">
        <v>1979.59</v>
      </c>
      <c r="D10" s="5" t="s">
        <v>145</v>
      </c>
      <c r="E10" s="6" t="s">
        <v>126</v>
      </c>
      <c r="F10" s="5" t="s">
        <v>79</v>
      </c>
      <c r="G10" s="5" t="s">
        <v>151</v>
      </c>
      <c r="H10" s="3">
        <v>2052.84</v>
      </c>
      <c r="I10">
        <f>1921*1.0305</f>
        <v>1979.5905</v>
      </c>
      <c r="J10" s="36">
        <v>2093.9</v>
      </c>
      <c r="K10">
        <f>2052.84*1.02</f>
        <v>2093.8968</v>
      </c>
    </row>
    <row r="11" spans="2:11" ht="158.4" x14ac:dyDescent="0.3">
      <c r="B11" s="7" t="s">
        <v>3</v>
      </c>
      <c r="C11" s="5">
        <v>1416.99</v>
      </c>
      <c r="D11" s="5" t="s">
        <v>146</v>
      </c>
      <c r="E11" s="4" t="s">
        <v>125</v>
      </c>
      <c r="F11" s="11" t="s">
        <v>80</v>
      </c>
      <c r="G11" s="11" t="s">
        <v>152</v>
      </c>
      <c r="H11" s="3">
        <v>1492.8</v>
      </c>
      <c r="I11">
        <f>1355*1.04575</f>
        <v>1416.99125</v>
      </c>
      <c r="J11" s="3">
        <v>1536.09</v>
      </c>
      <c r="K11">
        <f>1492.8*1.029</f>
        <v>1536.0911999999998</v>
      </c>
    </row>
    <row r="12" spans="2:11" ht="144" x14ac:dyDescent="0.3">
      <c r="B12" s="16" t="s">
        <v>88</v>
      </c>
      <c r="C12" s="5">
        <v>1057</v>
      </c>
      <c r="D12" s="5" t="s">
        <v>147</v>
      </c>
      <c r="E12" s="7" t="s">
        <v>167</v>
      </c>
      <c r="F12" s="7" t="s">
        <v>81</v>
      </c>
      <c r="G12" s="7" t="s">
        <v>153</v>
      </c>
      <c r="H12" s="3">
        <v>1109.32</v>
      </c>
      <c r="I12">
        <f>918*1.0545</f>
        <v>968.03099999999995</v>
      </c>
      <c r="J12" s="3">
        <v>1108.77</v>
      </c>
      <c r="K12">
        <f>1109.32*(1-0.05)</f>
        <v>1053.8539999999998</v>
      </c>
    </row>
  </sheetData>
  <mergeCells count="10">
    <mergeCell ref="J7:J8"/>
    <mergeCell ref="G7:G8"/>
    <mergeCell ref="E2:H2"/>
    <mergeCell ref="B4:H4"/>
    <mergeCell ref="B7:B8"/>
    <mergeCell ref="E7:E8"/>
    <mergeCell ref="F7:F8"/>
    <mergeCell ref="H7:H8"/>
    <mergeCell ref="C7:C8"/>
    <mergeCell ref="D7:D8"/>
  </mergeCells>
  <pageMargins left="0" right="0" top="0" bottom="0" header="0" footer="0"/>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73"/>
  <sheetViews>
    <sheetView topLeftCell="A55" zoomScaleNormal="100" workbookViewId="0">
      <selection activeCell="A55" sqref="A1:XFD1048576"/>
    </sheetView>
  </sheetViews>
  <sheetFormatPr defaultRowHeight="14.4" x14ac:dyDescent="0.3"/>
  <cols>
    <col min="2" max="2" width="54.44140625" customWidth="1"/>
    <col min="3" max="4" width="15.44140625" customWidth="1"/>
    <col min="5" max="5" width="18.109375" customWidth="1"/>
    <col min="7" max="7" width="39.6640625" customWidth="1"/>
  </cols>
  <sheetData>
    <row r="1" spans="2:7" x14ac:dyDescent="0.3">
      <c r="B1" s="61" t="s">
        <v>42</v>
      </c>
      <c r="C1" s="61"/>
      <c r="D1" s="61"/>
      <c r="E1" s="61"/>
    </row>
    <row r="3" spans="2:7" ht="86.4" x14ac:dyDescent="0.3">
      <c r="B3" s="8"/>
      <c r="C3" s="4" t="s">
        <v>15</v>
      </c>
      <c r="D3" s="4" t="s">
        <v>65</v>
      </c>
      <c r="E3" s="4" t="s">
        <v>67</v>
      </c>
      <c r="G3" s="1"/>
    </row>
    <row r="4" spans="2:7" x14ac:dyDescent="0.3">
      <c r="B4" s="67" t="s">
        <v>17</v>
      </c>
      <c r="C4" s="67"/>
      <c r="D4" s="67"/>
      <c r="E4" s="67"/>
      <c r="F4" s="2"/>
    </row>
    <row r="5" spans="2:7" x14ac:dyDescent="0.3">
      <c r="B5" s="8" t="s">
        <v>14</v>
      </c>
      <c r="C5" s="8">
        <v>1.2</v>
      </c>
      <c r="D5" s="8">
        <v>976.47</v>
      </c>
      <c r="E5" s="14">
        <f>976.47*1.2</f>
        <v>1171.7639999999999</v>
      </c>
    </row>
    <row r="6" spans="2:7" x14ac:dyDescent="0.3">
      <c r="B6" s="8" t="s">
        <v>56</v>
      </c>
      <c r="C6" s="8">
        <v>3.64</v>
      </c>
      <c r="D6" s="8">
        <v>976.47</v>
      </c>
      <c r="E6" s="14">
        <f>976.47*3.64</f>
        <v>3554.3508000000002</v>
      </c>
    </row>
    <row r="7" spans="2:7" x14ac:dyDescent="0.3">
      <c r="B7" s="8" t="s">
        <v>16</v>
      </c>
      <c r="C7" s="8">
        <v>3.2</v>
      </c>
      <c r="D7" s="8">
        <v>976.47</v>
      </c>
      <c r="E7" s="14">
        <f>976.47*3.2</f>
        <v>3124.7040000000002</v>
      </c>
    </row>
    <row r="8" spans="2:7" x14ac:dyDescent="0.3">
      <c r="B8" s="8" t="s">
        <v>18</v>
      </c>
      <c r="C8" s="8">
        <v>2.5499999999999998</v>
      </c>
      <c r="D8" s="8">
        <v>976.47</v>
      </c>
      <c r="E8" s="14">
        <f>976.47*2.55</f>
        <v>2489.9984999999997</v>
      </c>
    </row>
    <row r="9" spans="2:7" x14ac:dyDescent="0.3">
      <c r="B9" s="8" t="s">
        <v>19</v>
      </c>
      <c r="C9" s="8">
        <v>1.9</v>
      </c>
      <c r="D9" s="8">
        <v>976.47</v>
      </c>
      <c r="E9" s="14">
        <f>976.47*1.9</f>
        <v>1855.2929999999999</v>
      </c>
    </row>
    <row r="10" spans="2:7" ht="4.5" customHeight="1" x14ac:dyDescent="0.3">
      <c r="B10" s="8"/>
      <c r="C10" s="8"/>
      <c r="D10" s="8"/>
      <c r="E10" s="8"/>
    </row>
    <row r="11" spans="2:7" ht="18" customHeight="1" x14ac:dyDescent="0.3">
      <c r="B11" s="67" t="s">
        <v>27</v>
      </c>
      <c r="C11" s="67"/>
      <c r="D11" s="67"/>
      <c r="E11" s="67"/>
    </row>
    <row r="12" spans="2:7" ht="20.25" customHeight="1" x14ac:dyDescent="0.3">
      <c r="B12" s="8" t="s">
        <v>28</v>
      </c>
      <c r="C12" s="8">
        <v>2.33</v>
      </c>
      <c r="D12" s="8">
        <v>976.47</v>
      </c>
      <c r="E12" s="14">
        <f>976.47*2.33</f>
        <v>2275.1750999999999</v>
      </c>
    </row>
    <row r="13" spans="2:7" ht="18.75" customHeight="1" x14ac:dyDescent="0.3">
      <c r="B13" s="8" t="s">
        <v>29</v>
      </c>
      <c r="C13" s="8">
        <v>0.22</v>
      </c>
      <c r="D13" s="8">
        <v>976.47</v>
      </c>
      <c r="E13" s="14">
        <f>976.47*0.22</f>
        <v>214.82340000000002</v>
      </c>
    </row>
    <row r="14" spans="2:7" ht="6.75" customHeight="1" x14ac:dyDescent="0.3">
      <c r="B14" s="8"/>
      <c r="C14" s="8"/>
      <c r="D14" s="8"/>
      <c r="E14" s="8"/>
    </row>
    <row r="15" spans="2:7" x14ac:dyDescent="0.3">
      <c r="B15" s="67" t="s">
        <v>20</v>
      </c>
      <c r="C15" s="67"/>
      <c r="D15" s="67"/>
      <c r="E15" s="67"/>
    </row>
    <row r="16" spans="2:7" x14ac:dyDescent="0.3">
      <c r="B16" s="8" t="s">
        <v>21</v>
      </c>
      <c r="C16" s="8">
        <v>3.32</v>
      </c>
      <c r="D16" s="8">
        <v>976.47</v>
      </c>
      <c r="E16" s="14">
        <f>976.47*3.32</f>
        <v>3241.8804</v>
      </c>
    </row>
    <row r="17" spans="2:5" x14ac:dyDescent="0.3">
      <c r="B17" s="8" t="s">
        <v>22</v>
      </c>
      <c r="C17" s="8">
        <v>2.82</v>
      </c>
      <c r="D17" s="8">
        <v>976.47</v>
      </c>
      <c r="E17" s="14">
        <f>976.47*2.82</f>
        <v>2753.6453999999999</v>
      </c>
    </row>
    <row r="18" spans="2:5" x14ac:dyDescent="0.3">
      <c r="B18" s="8" t="s">
        <v>23</v>
      </c>
      <c r="C18" s="8">
        <v>2.82</v>
      </c>
      <c r="D18" s="8">
        <v>976.47</v>
      </c>
      <c r="E18" s="14">
        <f>976.47*2.82</f>
        <v>2753.6453999999999</v>
      </c>
    </row>
    <row r="19" spans="2:5" x14ac:dyDescent="0.3">
      <c r="B19" s="8" t="s">
        <v>24</v>
      </c>
      <c r="C19" s="8">
        <v>2.12</v>
      </c>
      <c r="D19" s="8">
        <v>976.47</v>
      </c>
      <c r="E19" s="14">
        <f>976.47*2.12</f>
        <v>2070.1164000000003</v>
      </c>
    </row>
    <row r="20" spans="2:5" ht="5.25" customHeight="1" x14ac:dyDescent="0.3">
      <c r="B20" s="8"/>
      <c r="C20" s="8"/>
      <c r="D20" s="8"/>
      <c r="E20" s="8"/>
    </row>
    <row r="21" spans="2:5" x14ac:dyDescent="0.3">
      <c r="B21" s="67" t="s">
        <v>25</v>
      </c>
      <c r="C21" s="68"/>
      <c r="D21" s="68"/>
      <c r="E21" s="68"/>
    </row>
    <row r="22" spans="2:5" x14ac:dyDescent="0.3">
      <c r="B22" s="8" t="s">
        <v>26</v>
      </c>
      <c r="C22" s="8">
        <v>0.8</v>
      </c>
      <c r="D22" s="8">
        <v>976.47</v>
      </c>
      <c r="E22" s="14">
        <f>976.47*0.08</f>
        <v>78.11760000000001</v>
      </c>
    </row>
    <row r="23" spans="2:5" ht="5.25" customHeight="1" x14ac:dyDescent="0.3">
      <c r="B23" s="8"/>
      <c r="C23" s="8"/>
      <c r="D23" s="8"/>
      <c r="E23" s="8"/>
    </row>
    <row r="24" spans="2:5" x14ac:dyDescent="0.3">
      <c r="B24" s="67" t="s">
        <v>30</v>
      </c>
      <c r="C24" s="67"/>
      <c r="D24" s="67"/>
      <c r="E24" s="67"/>
    </row>
    <row r="25" spans="2:5" ht="28.8" x14ac:dyDescent="0.3">
      <c r="B25" s="4" t="s">
        <v>31</v>
      </c>
      <c r="C25" s="8">
        <v>4.05</v>
      </c>
      <c r="D25" s="8">
        <v>976.47</v>
      </c>
      <c r="E25" s="14">
        <f>976.47*4.05</f>
        <v>3954.7035000000001</v>
      </c>
    </row>
    <row r="26" spans="2:5" ht="3.75" customHeight="1" x14ac:dyDescent="0.3">
      <c r="B26" s="8"/>
      <c r="C26" s="8"/>
      <c r="D26" s="8"/>
      <c r="E26" s="8"/>
    </row>
    <row r="27" spans="2:5" x14ac:dyDescent="0.3">
      <c r="B27" s="67" t="s">
        <v>32</v>
      </c>
      <c r="C27" s="67"/>
      <c r="D27" s="67"/>
      <c r="E27" s="67"/>
    </row>
    <row r="28" spans="2:5" ht="28.8" x14ac:dyDescent="0.3">
      <c r="B28" s="4" t="s">
        <v>33</v>
      </c>
      <c r="C28" s="8">
        <v>4.05</v>
      </c>
      <c r="D28" s="8">
        <v>976.47</v>
      </c>
      <c r="E28" s="14">
        <f>976.47*4.05</f>
        <v>3954.7035000000001</v>
      </c>
    </row>
    <row r="29" spans="2:5" ht="4.5" customHeight="1" x14ac:dyDescent="0.3">
      <c r="B29" s="8"/>
      <c r="C29" s="8"/>
      <c r="D29" s="8"/>
      <c r="E29" s="8"/>
    </row>
    <row r="30" spans="2:5" x14ac:dyDescent="0.3">
      <c r="B30" s="67" t="s">
        <v>34</v>
      </c>
      <c r="C30" s="67"/>
      <c r="D30" s="67"/>
      <c r="E30" s="67"/>
    </row>
    <row r="31" spans="2:5" x14ac:dyDescent="0.3">
      <c r="B31" s="8" t="s">
        <v>35</v>
      </c>
      <c r="C31" s="8">
        <v>2.78</v>
      </c>
      <c r="D31" s="8">
        <v>976.47</v>
      </c>
      <c r="E31" s="14">
        <f>976.47*2.78</f>
        <v>2714.5866000000001</v>
      </c>
    </row>
    <row r="32" spans="2:5" x14ac:dyDescent="0.3">
      <c r="B32" s="8" t="s">
        <v>36</v>
      </c>
      <c r="C32" s="8">
        <v>2.64</v>
      </c>
      <c r="D32" s="8">
        <v>976.47</v>
      </c>
      <c r="E32" s="14">
        <f>976.47*2.64</f>
        <v>2577.8808000000004</v>
      </c>
    </row>
    <row r="33" spans="2:5" x14ac:dyDescent="0.3">
      <c r="B33" s="8" t="s">
        <v>37</v>
      </c>
      <c r="C33" s="8">
        <v>2.31</v>
      </c>
      <c r="D33" s="8">
        <v>976.47</v>
      </c>
      <c r="E33" s="14">
        <f>976.47*2.31</f>
        <v>2255.6457</v>
      </c>
    </row>
    <row r="34" spans="2:5" ht="4.5" customHeight="1" x14ac:dyDescent="0.3">
      <c r="B34" s="8"/>
      <c r="C34" s="8"/>
      <c r="D34" s="8"/>
      <c r="E34" s="8"/>
    </row>
    <row r="35" spans="2:5" x14ac:dyDescent="0.3">
      <c r="B35" s="67" t="s">
        <v>38</v>
      </c>
      <c r="C35" s="67"/>
      <c r="D35" s="67"/>
      <c r="E35" s="67"/>
    </row>
    <row r="36" spans="2:5" x14ac:dyDescent="0.3">
      <c r="B36" s="8" t="s">
        <v>38</v>
      </c>
      <c r="C36" s="8">
        <v>4.05</v>
      </c>
      <c r="D36" s="8">
        <v>976.47</v>
      </c>
      <c r="E36" s="14">
        <f>976.47*4.05</f>
        <v>3954.7035000000001</v>
      </c>
    </row>
    <row r="37" spans="2:5" ht="4.5" customHeight="1" x14ac:dyDescent="0.3">
      <c r="B37" s="8"/>
      <c r="C37" s="8"/>
      <c r="D37" s="8"/>
      <c r="E37" s="8"/>
    </row>
    <row r="38" spans="2:5" x14ac:dyDescent="0.3">
      <c r="B38" s="67" t="s">
        <v>3</v>
      </c>
      <c r="C38" s="67"/>
      <c r="D38" s="67"/>
      <c r="E38" s="67"/>
    </row>
    <row r="39" spans="2:5" ht="37.5" customHeight="1" x14ac:dyDescent="0.3">
      <c r="B39" s="4" t="s">
        <v>43</v>
      </c>
      <c r="C39" s="10">
        <v>4.05</v>
      </c>
      <c r="D39" s="10">
        <v>1416.99</v>
      </c>
      <c r="E39" s="15">
        <f>1416.99*4.05</f>
        <v>5738.8094999999994</v>
      </c>
    </row>
    <row r="40" spans="2:5" ht="6.75" customHeight="1" x14ac:dyDescent="0.3">
      <c r="B40" s="9"/>
      <c r="C40" s="9"/>
      <c r="D40" s="9"/>
      <c r="E40" s="9"/>
    </row>
    <row r="41" spans="2:5" x14ac:dyDescent="0.3">
      <c r="B41" s="67" t="s">
        <v>39</v>
      </c>
      <c r="C41" s="67"/>
      <c r="D41" s="67"/>
      <c r="E41" s="67"/>
    </row>
    <row r="42" spans="2:5" x14ac:dyDescent="0.3">
      <c r="B42" s="8" t="s">
        <v>40</v>
      </c>
      <c r="C42" s="8">
        <v>4.05</v>
      </c>
      <c r="D42" s="8">
        <v>976.47</v>
      </c>
      <c r="E42" s="14">
        <f>976.47*4.05</f>
        <v>3954.7035000000001</v>
      </c>
    </row>
    <row r="43" spans="2:5" x14ac:dyDescent="0.3">
      <c r="B43" s="8" t="s">
        <v>41</v>
      </c>
      <c r="C43" s="8">
        <v>3.32</v>
      </c>
      <c r="D43" s="8">
        <v>976.47</v>
      </c>
      <c r="E43" s="14">
        <f>976.47*3.32</f>
        <v>3241.8804</v>
      </c>
    </row>
    <row r="44" spans="2:5" ht="4.5" customHeight="1" x14ac:dyDescent="0.3">
      <c r="B44" s="8"/>
      <c r="C44" s="8"/>
      <c r="D44" s="8"/>
      <c r="E44" s="8"/>
    </row>
    <row r="45" spans="2:5" x14ac:dyDescent="0.3">
      <c r="B45" s="67" t="s">
        <v>44</v>
      </c>
      <c r="C45" s="67"/>
      <c r="D45" s="67"/>
      <c r="E45" s="67"/>
    </row>
    <row r="46" spans="2:5" x14ac:dyDescent="0.3">
      <c r="B46" s="4" t="s">
        <v>46</v>
      </c>
      <c r="C46" s="8">
        <v>4.95</v>
      </c>
      <c r="D46" s="8">
        <v>1979.59</v>
      </c>
      <c r="E46" s="14">
        <f>1979.59*4.95</f>
        <v>9798.9704999999994</v>
      </c>
    </row>
    <row r="47" spans="2:5" ht="4.5" customHeight="1" x14ac:dyDescent="0.3">
      <c r="B47" s="8"/>
      <c r="C47" s="8"/>
      <c r="D47" s="8"/>
      <c r="E47" s="8"/>
    </row>
    <row r="48" spans="2:5" x14ac:dyDescent="0.3">
      <c r="B48" s="67" t="s">
        <v>57</v>
      </c>
      <c r="C48" s="67"/>
      <c r="D48" s="67"/>
      <c r="E48" s="67"/>
    </row>
    <row r="49" spans="2:6" ht="28.8" x14ac:dyDescent="0.3">
      <c r="B49" s="4" t="s">
        <v>45</v>
      </c>
      <c r="C49" s="8">
        <v>4.05</v>
      </c>
      <c r="D49" s="8">
        <v>1979.59</v>
      </c>
      <c r="E49" s="14">
        <f>1979.59*4.05</f>
        <v>8017.3394999999991</v>
      </c>
    </row>
    <row r="51" spans="2:6" x14ac:dyDescent="0.3">
      <c r="B51" s="61" t="s">
        <v>49</v>
      </c>
      <c r="C51" s="61"/>
      <c r="D51" s="61"/>
      <c r="E51" s="61"/>
    </row>
    <row r="53" spans="2:6" ht="57.6" x14ac:dyDescent="0.3">
      <c r="B53" s="8"/>
      <c r="C53" s="4" t="s">
        <v>15</v>
      </c>
      <c r="D53" s="4" t="s">
        <v>65</v>
      </c>
      <c r="E53" s="4" t="s">
        <v>66</v>
      </c>
    </row>
    <row r="54" spans="2:6" x14ac:dyDescent="0.3">
      <c r="B54" s="8" t="s">
        <v>47</v>
      </c>
      <c r="C54" s="8">
        <v>2.91</v>
      </c>
      <c r="D54" s="8">
        <v>976.47</v>
      </c>
      <c r="E54" s="14">
        <f>976.47*2.91</f>
        <v>2841.5277000000001</v>
      </c>
    </row>
    <row r="55" spans="2:6" x14ac:dyDescent="0.3">
      <c r="B55" s="8" t="s">
        <v>48</v>
      </c>
      <c r="C55" s="8">
        <v>2.85</v>
      </c>
      <c r="D55" s="8">
        <v>976.47</v>
      </c>
      <c r="E55" s="14">
        <f>976.47*2.85</f>
        <v>2782.9395</v>
      </c>
    </row>
    <row r="57" spans="2:6" ht="28.5" customHeight="1" x14ac:dyDescent="0.3">
      <c r="B57" s="69" t="s">
        <v>51</v>
      </c>
      <c r="C57" s="69"/>
      <c r="D57" s="69"/>
      <c r="E57" s="69"/>
    </row>
    <row r="59" spans="2:6" ht="57.6" x14ac:dyDescent="0.3">
      <c r="B59" s="8"/>
      <c r="C59" s="4" t="s">
        <v>15</v>
      </c>
      <c r="D59" s="4" t="s">
        <v>65</v>
      </c>
      <c r="E59" s="4" t="s">
        <v>66</v>
      </c>
    </row>
    <row r="60" spans="2:6" hidden="1" x14ac:dyDescent="0.3">
      <c r="B60" s="8" t="s">
        <v>50</v>
      </c>
      <c r="C60" s="8">
        <v>3.2</v>
      </c>
      <c r="D60" s="8">
        <v>976.47</v>
      </c>
      <c r="E60" s="14">
        <f>976.47*3.2</f>
        <v>3124.7040000000002</v>
      </c>
      <c r="F60" t="s">
        <v>75</v>
      </c>
    </row>
    <row r="61" spans="2:6" x14ac:dyDescent="0.3">
      <c r="B61" s="8" t="s">
        <v>76</v>
      </c>
      <c r="C61" s="8">
        <v>3.2</v>
      </c>
      <c r="D61" s="8">
        <v>926</v>
      </c>
      <c r="E61" s="14">
        <f>D61*C61</f>
        <v>2963.2000000000003</v>
      </c>
    </row>
    <row r="62" spans="2:6" x14ac:dyDescent="0.3">
      <c r="B62" s="8" t="s">
        <v>52</v>
      </c>
      <c r="C62" s="8">
        <v>4.93</v>
      </c>
      <c r="D62" s="8">
        <v>976.47</v>
      </c>
      <c r="E62" s="14">
        <f>976.47*4.93</f>
        <v>4813.9970999999996</v>
      </c>
    </row>
    <row r="63" spans="2:6" x14ac:dyDescent="0.3">
      <c r="B63" s="8" t="s">
        <v>53</v>
      </c>
      <c r="C63" s="8">
        <v>4.68</v>
      </c>
      <c r="D63" s="8">
        <v>976.47</v>
      </c>
      <c r="E63" s="14">
        <f>976.47*4.68</f>
        <v>4569.8796000000002</v>
      </c>
    </row>
    <row r="64" spans="2:6" x14ac:dyDescent="0.3">
      <c r="B64" s="8" t="s">
        <v>54</v>
      </c>
      <c r="C64" s="8">
        <v>4.68</v>
      </c>
      <c r="D64" s="8">
        <v>976.47</v>
      </c>
      <c r="E64" s="14">
        <f>976.47*4.68</f>
        <v>4569.8796000000002</v>
      </c>
    </row>
    <row r="65" spans="2:5" x14ac:dyDescent="0.3">
      <c r="B65" s="8" t="s">
        <v>55</v>
      </c>
      <c r="C65" s="8">
        <v>3.63</v>
      </c>
      <c r="D65" s="8">
        <v>976.47</v>
      </c>
      <c r="E65" s="14">
        <f>976.47*3.63</f>
        <v>3544.5861</v>
      </c>
    </row>
    <row r="66" spans="2:5" x14ac:dyDescent="0.3">
      <c r="B66" t="s">
        <v>77</v>
      </c>
    </row>
    <row r="68" spans="2:5" x14ac:dyDescent="0.3">
      <c r="B68" s="61" t="s">
        <v>70</v>
      </c>
      <c r="C68" s="61"/>
      <c r="D68" s="61"/>
      <c r="E68" s="61"/>
    </row>
    <row r="69" spans="2:5" x14ac:dyDescent="0.3">
      <c r="B69" s="13"/>
      <c r="C69" s="13"/>
      <c r="D69" s="13"/>
      <c r="E69" s="13"/>
    </row>
    <row r="70" spans="2:5" ht="57.6" x14ac:dyDescent="0.3">
      <c r="B70" s="8"/>
      <c r="C70" s="4" t="s">
        <v>72</v>
      </c>
      <c r="D70" s="4" t="s">
        <v>65</v>
      </c>
      <c r="E70" s="4" t="s">
        <v>66</v>
      </c>
    </row>
    <row r="71" spans="2:5" x14ac:dyDescent="0.3">
      <c r="B71" s="16" t="s">
        <v>71</v>
      </c>
      <c r="C71" s="8">
        <v>0.9</v>
      </c>
      <c r="D71" s="8">
        <v>968.03</v>
      </c>
      <c r="E71" s="14">
        <f>D71*0.9</f>
        <v>871.22699999999998</v>
      </c>
    </row>
    <row r="72" spans="2:5" x14ac:dyDescent="0.3">
      <c r="B72" s="16" t="s">
        <v>73</v>
      </c>
      <c r="C72" s="8">
        <v>2.4</v>
      </c>
      <c r="D72" s="8">
        <v>968.03</v>
      </c>
      <c r="E72" s="14">
        <f>D72*2.4</f>
        <v>2323.2719999999999</v>
      </c>
    </row>
    <row r="73" spans="2:5" x14ac:dyDescent="0.3">
      <c r="B73" s="16" t="s">
        <v>74</v>
      </c>
      <c r="C73" s="8">
        <v>3</v>
      </c>
      <c r="D73" s="8">
        <v>968.03</v>
      </c>
      <c r="E73" s="14">
        <f>D73*3</f>
        <v>2904.09</v>
      </c>
    </row>
  </sheetData>
  <mergeCells count="16">
    <mergeCell ref="B68:E68"/>
    <mergeCell ref="B45:E45"/>
    <mergeCell ref="B48:E48"/>
    <mergeCell ref="B51:E51"/>
    <mergeCell ref="B57:E57"/>
    <mergeCell ref="B27:E27"/>
    <mergeCell ref="B30:E30"/>
    <mergeCell ref="B35:E35"/>
    <mergeCell ref="B41:E41"/>
    <mergeCell ref="B1:E1"/>
    <mergeCell ref="B38:E38"/>
    <mergeCell ref="B4:E4"/>
    <mergeCell ref="B15:E15"/>
    <mergeCell ref="B21:E21"/>
    <mergeCell ref="B11:E11"/>
    <mergeCell ref="B24:E24"/>
  </mergeCells>
  <pageMargins left="0.7" right="0.7" top="0.75" bottom="0.75" header="0.3" footer="0.3"/>
  <pageSetup paperSize="9" scale="67"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DA87-CA50-4A1A-BFD2-048E9E900D33}">
  <dimension ref="B1:K93"/>
  <sheetViews>
    <sheetView tabSelected="1" topLeftCell="A83" zoomScaleNormal="100" workbookViewId="0">
      <selection activeCell="B101" sqref="B101"/>
    </sheetView>
  </sheetViews>
  <sheetFormatPr defaultRowHeight="14.4" x14ac:dyDescent="0.3"/>
  <cols>
    <col min="2" max="2" width="54.44140625" customWidth="1"/>
    <col min="3" max="4" width="15.44140625" customWidth="1"/>
    <col min="5" max="5" width="18.109375" customWidth="1"/>
    <col min="7" max="7" width="39.6640625" hidden="1" customWidth="1"/>
    <col min="11" max="11" width="10.88671875" bestFit="1" customWidth="1"/>
  </cols>
  <sheetData>
    <row r="1" spans="2:7" x14ac:dyDescent="0.3">
      <c r="B1" s="61" t="s">
        <v>159</v>
      </c>
      <c r="C1" s="61"/>
      <c r="D1" s="61"/>
      <c r="E1" s="61"/>
    </row>
    <row r="3" spans="2:7" ht="86.4" x14ac:dyDescent="0.3">
      <c r="B3" s="8"/>
      <c r="C3" s="4" t="s">
        <v>15</v>
      </c>
      <c r="D3" s="4" t="s">
        <v>148</v>
      </c>
      <c r="E3" s="4" t="s">
        <v>158</v>
      </c>
      <c r="G3" s="1"/>
    </row>
    <row r="4" spans="2:7" x14ac:dyDescent="0.3">
      <c r="B4" s="67" t="s">
        <v>199</v>
      </c>
      <c r="C4" s="67"/>
      <c r="D4" s="67"/>
      <c r="E4" s="67"/>
      <c r="F4" s="2"/>
    </row>
    <row r="5" spans="2:7" x14ac:dyDescent="0.3">
      <c r="B5" s="71" t="s">
        <v>186</v>
      </c>
      <c r="C5" s="72"/>
      <c r="D5" s="72"/>
      <c r="E5" s="73"/>
      <c r="F5" s="2"/>
    </row>
    <row r="6" spans="2:7" x14ac:dyDescent="0.3">
      <c r="B6" s="8" t="s">
        <v>14</v>
      </c>
      <c r="C6" s="8">
        <v>1.2</v>
      </c>
      <c r="D6" s="37">
        <v>1058.0999999999999</v>
      </c>
      <c r="E6" s="14">
        <f>C6*D6</f>
        <v>1269.7199999999998</v>
      </c>
    </row>
    <row r="7" spans="2:7" x14ac:dyDescent="0.3">
      <c r="B7" s="8" t="s">
        <v>56</v>
      </c>
      <c r="C7" s="8">
        <v>3.64</v>
      </c>
      <c r="D7" s="37">
        <v>1058.0999999999999</v>
      </c>
      <c r="E7" s="14">
        <f>C7*D7</f>
        <v>3851.4839999999999</v>
      </c>
    </row>
    <row r="8" spans="2:7" x14ac:dyDescent="0.3">
      <c r="B8" s="8" t="s">
        <v>16</v>
      </c>
      <c r="C8" s="8">
        <v>3.2</v>
      </c>
      <c r="D8" s="37">
        <v>1058.0999999999999</v>
      </c>
      <c r="E8" s="14">
        <f>C8*D8</f>
        <v>3385.92</v>
      </c>
    </row>
    <row r="9" spans="2:7" x14ac:dyDescent="0.3">
      <c r="B9" s="8" t="s">
        <v>18</v>
      </c>
      <c r="C9" s="8">
        <v>2.5499999999999998</v>
      </c>
      <c r="D9" s="37">
        <v>1058.0999999999999</v>
      </c>
      <c r="E9" s="14">
        <f>C9*D9</f>
        <v>2698.1549999999997</v>
      </c>
    </row>
    <row r="10" spans="2:7" x14ac:dyDescent="0.3">
      <c r="B10" s="8" t="s">
        <v>19</v>
      </c>
      <c r="C10" s="8">
        <v>1.9</v>
      </c>
      <c r="D10" s="37">
        <v>1058.0999999999999</v>
      </c>
      <c r="E10" s="14">
        <f>C10*D10</f>
        <v>2010.3899999999996</v>
      </c>
    </row>
    <row r="11" spans="2:7" x14ac:dyDescent="0.3">
      <c r="B11" s="74" t="s">
        <v>187</v>
      </c>
      <c r="C11" s="75"/>
      <c r="D11" s="75"/>
      <c r="E11" s="76"/>
    </row>
    <row r="12" spans="2:7" x14ac:dyDescent="0.3">
      <c r="B12" s="55" t="s">
        <v>188</v>
      </c>
      <c r="C12" s="8">
        <v>6</v>
      </c>
      <c r="D12" s="37">
        <v>1058.0999999999999</v>
      </c>
      <c r="E12" s="14">
        <f>C12*D12</f>
        <v>6348.5999999999995</v>
      </c>
    </row>
    <row r="13" spans="2:7" ht="57.6" x14ac:dyDescent="0.3">
      <c r="B13" s="55" t="s">
        <v>189</v>
      </c>
      <c r="C13" s="8">
        <v>5.2</v>
      </c>
      <c r="D13" s="37">
        <v>1058.0999999999999</v>
      </c>
      <c r="E13" s="14">
        <f t="shared" ref="E13:E22" si="0">C13*D13</f>
        <v>5502.12</v>
      </c>
    </row>
    <row r="14" spans="2:7" ht="43.2" x14ac:dyDescent="0.3">
      <c r="B14" s="55" t="s">
        <v>190</v>
      </c>
      <c r="C14" s="8">
        <v>4.2</v>
      </c>
      <c r="D14" s="37">
        <v>1058.0999999999999</v>
      </c>
      <c r="E14" s="14">
        <f t="shared" si="0"/>
        <v>4444.0199999999995</v>
      </c>
    </row>
    <row r="15" spans="2:7" ht="43.2" x14ac:dyDescent="0.3">
      <c r="B15" s="55" t="s">
        <v>191</v>
      </c>
      <c r="C15" s="8">
        <v>4</v>
      </c>
      <c r="D15" s="37">
        <v>1058.0999999999999</v>
      </c>
      <c r="E15" s="14">
        <f t="shared" si="0"/>
        <v>4232.3999999999996</v>
      </c>
    </row>
    <row r="16" spans="2:7" ht="43.2" x14ac:dyDescent="0.3">
      <c r="B16" s="55" t="s">
        <v>192</v>
      </c>
      <c r="C16" s="8">
        <v>3.7</v>
      </c>
      <c r="D16" s="37">
        <v>1058.0999999999999</v>
      </c>
      <c r="E16" s="14">
        <f t="shared" si="0"/>
        <v>3914.97</v>
      </c>
    </row>
    <row r="17" spans="2:5" x14ac:dyDescent="0.3">
      <c r="B17" s="55" t="s">
        <v>193</v>
      </c>
      <c r="C17" s="8">
        <v>3.1</v>
      </c>
      <c r="D17" s="37">
        <v>1058.0999999999999</v>
      </c>
      <c r="E17" s="14">
        <f t="shared" si="0"/>
        <v>3280.1099999999997</v>
      </c>
    </row>
    <row r="18" spans="2:5" ht="43.2" x14ac:dyDescent="0.3">
      <c r="B18" s="55" t="s">
        <v>194</v>
      </c>
      <c r="C18" s="8">
        <v>2.8</v>
      </c>
      <c r="D18" s="37">
        <v>1058.0999999999999</v>
      </c>
      <c r="E18" s="14">
        <f t="shared" si="0"/>
        <v>2962.6799999999994</v>
      </c>
    </row>
    <row r="19" spans="2:5" ht="28.8" x14ac:dyDescent="0.3">
      <c r="B19" s="56" t="s">
        <v>195</v>
      </c>
      <c r="C19" s="8">
        <v>2.5</v>
      </c>
      <c r="D19" s="37">
        <v>1058.0999999999999</v>
      </c>
      <c r="E19" s="14">
        <f t="shared" si="0"/>
        <v>2645.25</v>
      </c>
    </row>
    <row r="20" spans="2:5" x14ac:dyDescent="0.3">
      <c r="B20" s="55" t="s">
        <v>196</v>
      </c>
      <c r="C20" s="8">
        <v>1.7</v>
      </c>
      <c r="D20" s="37">
        <v>1058.0999999999999</v>
      </c>
      <c r="E20" s="14">
        <f t="shared" si="0"/>
        <v>1798.7699999999998</v>
      </c>
    </row>
    <row r="21" spans="2:5" ht="43.2" x14ac:dyDescent="0.3">
      <c r="B21" s="55" t="s">
        <v>197</v>
      </c>
      <c r="C21" s="8">
        <v>1.6</v>
      </c>
      <c r="D21" s="37">
        <v>1058.0999999999999</v>
      </c>
      <c r="E21" s="14">
        <f t="shared" si="0"/>
        <v>1692.96</v>
      </c>
    </row>
    <row r="22" spans="2:5" ht="43.2" x14ac:dyDescent="0.3">
      <c r="B22" s="55" t="s">
        <v>198</v>
      </c>
      <c r="C22" s="8">
        <v>1.5</v>
      </c>
      <c r="D22" s="37">
        <v>1058.0999999999999</v>
      </c>
      <c r="E22" s="14">
        <f t="shared" si="0"/>
        <v>1587.1499999999999</v>
      </c>
    </row>
    <row r="23" spans="2:5" ht="4.5" customHeight="1" x14ac:dyDescent="0.3">
      <c r="B23" s="8"/>
      <c r="C23" s="8"/>
      <c r="D23" s="8"/>
      <c r="E23" s="8"/>
    </row>
    <row r="24" spans="2:5" ht="18" customHeight="1" x14ac:dyDescent="0.3">
      <c r="B24" s="70" t="s">
        <v>27</v>
      </c>
      <c r="C24" s="70"/>
      <c r="D24" s="70"/>
      <c r="E24" s="70"/>
    </row>
    <row r="25" spans="2:5" ht="20.25" customHeight="1" x14ac:dyDescent="0.3">
      <c r="B25" s="8" t="s">
        <v>28</v>
      </c>
      <c r="C25" s="8">
        <v>2.33</v>
      </c>
      <c r="D25" s="37">
        <v>1058.0999999999999</v>
      </c>
      <c r="E25" s="14">
        <f>C25*D25</f>
        <v>2465.373</v>
      </c>
    </row>
    <row r="26" spans="2:5" ht="18.75" customHeight="1" x14ac:dyDescent="0.3">
      <c r="B26" s="8" t="s">
        <v>29</v>
      </c>
      <c r="C26" s="8">
        <v>0.22</v>
      </c>
      <c r="D26" s="37">
        <v>1058.0999999999999</v>
      </c>
      <c r="E26" s="14">
        <f>C26*D26</f>
        <v>232.78199999999998</v>
      </c>
    </row>
    <row r="27" spans="2:5" ht="6.75" customHeight="1" x14ac:dyDescent="0.3">
      <c r="B27" s="8"/>
      <c r="C27" s="8"/>
      <c r="D27" s="8"/>
      <c r="E27" s="8"/>
    </row>
    <row r="28" spans="2:5" x14ac:dyDescent="0.3">
      <c r="B28" s="70" t="s">
        <v>20</v>
      </c>
      <c r="C28" s="70"/>
      <c r="D28" s="70"/>
      <c r="E28" s="70"/>
    </row>
    <row r="29" spans="2:5" x14ac:dyDescent="0.3">
      <c r="B29" s="8" t="s">
        <v>21</v>
      </c>
      <c r="C29" s="8">
        <v>3.32</v>
      </c>
      <c r="D29" s="37">
        <v>1058.0999999999999</v>
      </c>
      <c r="E29" s="14">
        <f>C29*D29</f>
        <v>3512.8919999999994</v>
      </c>
    </row>
    <row r="30" spans="2:5" x14ac:dyDescent="0.3">
      <c r="B30" s="8" t="s">
        <v>22</v>
      </c>
      <c r="C30" s="8">
        <v>2.82</v>
      </c>
      <c r="D30" s="37">
        <v>1058.0999999999999</v>
      </c>
      <c r="E30" s="14">
        <f>C30*D30</f>
        <v>2983.8419999999996</v>
      </c>
    </row>
    <row r="31" spans="2:5" x14ac:dyDescent="0.3">
      <c r="B31" s="8" t="s">
        <v>23</v>
      </c>
      <c r="C31" s="8">
        <v>2.82</v>
      </c>
      <c r="D31" s="37">
        <v>1058.0999999999999</v>
      </c>
      <c r="E31" s="14">
        <f>C31*D31</f>
        <v>2983.8419999999996</v>
      </c>
    </row>
    <row r="32" spans="2:5" x14ac:dyDescent="0.3">
      <c r="B32" s="8" t="s">
        <v>24</v>
      </c>
      <c r="C32" s="8">
        <v>2.12</v>
      </c>
      <c r="D32" s="37">
        <v>1058.0999999999999</v>
      </c>
      <c r="E32" s="14">
        <f>C32*D32</f>
        <v>2243.172</v>
      </c>
    </row>
    <row r="33" spans="2:7" ht="5.25" customHeight="1" x14ac:dyDescent="0.3">
      <c r="B33" s="8"/>
      <c r="C33" s="8"/>
      <c r="D33" s="8"/>
      <c r="E33" s="8"/>
    </row>
    <row r="34" spans="2:7" hidden="1" x14ac:dyDescent="0.3">
      <c r="B34" s="67" t="s">
        <v>25</v>
      </c>
      <c r="C34" s="68"/>
      <c r="D34" s="68"/>
      <c r="E34" s="68"/>
    </row>
    <row r="35" spans="2:7" hidden="1" x14ac:dyDescent="0.3">
      <c r="B35" s="8" t="s">
        <v>26</v>
      </c>
      <c r="C35" s="8">
        <v>0.8</v>
      </c>
      <c r="D35" s="37">
        <v>1058.0999999999999</v>
      </c>
      <c r="E35" s="14">
        <f>C35*D35</f>
        <v>846.48</v>
      </c>
    </row>
    <row r="36" spans="2:7" ht="5.25" hidden="1" customHeight="1" x14ac:dyDescent="0.3">
      <c r="B36" s="8"/>
      <c r="C36" s="8"/>
      <c r="D36" s="8"/>
      <c r="E36" s="8"/>
    </row>
    <row r="37" spans="2:7" x14ac:dyDescent="0.3">
      <c r="B37" s="70" t="s">
        <v>30</v>
      </c>
      <c r="C37" s="70"/>
      <c r="D37" s="70"/>
      <c r="E37" s="70"/>
    </row>
    <row r="38" spans="2:7" ht="28.8" x14ac:dyDescent="0.3">
      <c r="B38" s="4" t="s">
        <v>31</v>
      </c>
      <c r="C38" s="8">
        <v>4.05</v>
      </c>
      <c r="D38" s="37">
        <v>1058.0999999999999</v>
      </c>
      <c r="E38" s="14">
        <f>C38*D38</f>
        <v>4285.3049999999994</v>
      </c>
    </row>
    <row r="39" spans="2:7" ht="3.75" customHeight="1" x14ac:dyDescent="0.3">
      <c r="B39" s="8"/>
      <c r="C39" s="8"/>
      <c r="D39" s="8"/>
      <c r="E39" s="8"/>
    </row>
    <row r="40" spans="2:7" x14ac:dyDescent="0.3">
      <c r="B40" s="70" t="s">
        <v>32</v>
      </c>
      <c r="C40" s="70"/>
      <c r="D40" s="70"/>
      <c r="E40" s="70"/>
    </row>
    <row r="41" spans="2:7" ht="36.6" customHeight="1" x14ac:dyDescent="0.3">
      <c r="B41" s="4" t="s">
        <v>33</v>
      </c>
      <c r="C41" s="8">
        <v>4.05</v>
      </c>
      <c r="D41" s="37">
        <v>1058.0999999999999</v>
      </c>
      <c r="E41" s="14">
        <f>C41*D41</f>
        <v>4285.3049999999994</v>
      </c>
      <c r="G41" s="1" t="s">
        <v>118</v>
      </c>
    </row>
    <row r="42" spans="2:7" ht="4.5" customHeight="1" x14ac:dyDescent="0.3">
      <c r="B42" s="8"/>
      <c r="C42" s="8"/>
      <c r="D42" s="8"/>
      <c r="E42" s="8"/>
    </row>
    <row r="43" spans="2:7" x14ac:dyDescent="0.3">
      <c r="B43" s="70" t="s">
        <v>34</v>
      </c>
      <c r="C43" s="70"/>
      <c r="D43" s="70"/>
      <c r="E43" s="70"/>
    </row>
    <row r="44" spans="2:7" x14ac:dyDescent="0.3">
      <c r="B44" s="8" t="s">
        <v>35</v>
      </c>
      <c r="C44" s="8">
        <v>4.4800000000000004</v>
      </c>
      <c r="D44" s="37">
        <v>1058.0999999999999</v>
      </c>
      <c r="E44" s="14">
        <f t="shared" ref="E44:E51" si="1">C44*D44</f>
        <v>4740.2880000000005</v>
      </c>
    </row>
    <row r="45" spans="2:7" x14ac:dyDescent="0.3">
      <c r="B45" s="8" t="s">
        <v>36</v>
      </c>
      <c r="C45" s="8">
        <v>4.34</v>
      </c>
      <c r="D45" s="37">
        <v>1058.0999999999999</v>
      </c>
      <c r="E45" s="14">
        <f t="shared" si="1"/>
        <v>4592.1539999999995</v>
      </c>
    </row>
    <row r="46" spans="2:7" x14ac:dyDescent="0.3">
      <c r="B46" s="8" t="s">
        <v>37</v>
      </c>
      <c r="C46" s="8">
        <v>4.2</v>
      </c>
      <c r="D46" s="37">
        <v>1058.0999999999999</v>
      </c>
      <c r="E46" s="14">
        <f>C46*D46</f>
        <v>4444.0199999999995</v>
      </c>
    </row>
    <row r="47" spans="2:7" x14ac:dyDescent="0.3">
      <c r="B47" s="77" t="s">
        <v>120</v>
      </c>
      <c r="C47" s="78"/>
      <c r="D47" s="78"/>
      <c r="E47" s="79"/>
    </row>
    <row r="48" spans="2:7" x14ac:dyDescent="0.3">
      <c r="B48" s="8" t="s">
        <v>121</v>
      </c>
      <c r="C48" s="8">
        <v>4.4800000000000004</v>
      </c>
      <c r="D48" s="37">
        <v>1058.0999999999999</v>
      </c>
      <c r="E48" s="14">
        <f t="shared" si="1"/>
        <v>4740.2880000000005</v>
      </c>
    </row>
    <row r="49" spans="2:7" x14ac:dyDescent="0.3">
      <c r="B49" s="8" t="s">
        <v>122</v>
      </c>
      <c r="C49" s="8">
        <v>4.2</v>
      </c>
      <c r="D49" s="37">
        <v>1058.0999999999999</v>
      </c>
      <c r="E49" s="14">
        <f t="shared" si="1"/>
        <v>4444.0199999999995</v>
      </c>
    </row>
    <row r="50" spans="2:7" x14ac:dyDescent="0.3">
      <c r="B50" s="77" t="s">
        <v>123</v>
      </c>
      <c r="C50" s="78"/>
      <c r="D50" s="78"/>
      <c r="E50" s="79"/>
    </row>
    <row r="51" spans="2:7" x14ac:dyDescent="0.3">
      <c r="B51" s="8" t="s">
        <v>124</v>
      </c>
      <c r="C51" s="8">
        <v>2.78</v>
      </c>
      <c r="D51" s="37">
        <v>1058.0999999999999</v>
      </c>
      <c r="E51" s="14">
        <f t="shared" si="1"/>
        <v>2941.5179999999996</v>
      </c>
    </row>
    <row r="53" spans="2:7" ht="4.5" customHeight="1" x14ac:dyDescent="0.3">
      <c r="B53" s="8"/>
      <c r="C53" s="8"/>
      <c r="D53" s="8"/>
      <c r="E53" s="8"/>
    </row>
    <row r="54" spans="2:7" x14ac:dyDescent="0.3">
      <c r="B54" s="70" t="s">
        <v>38</v>
      </c>
      <c r="C54" s="70"/>
      <c r="D54" s="70"/>
      <c r="E54" s="70"/>
    </row>
    <row r="55" spans="2:7" x14ac:dyDescent="0.3">
      <c r="B55" s="8" t="s">
        <v>38</v>
      </c>
      <c r="C55" s="8">
        <v>4.05</v>
      </c>
      <c r="D55" s="37">
        <v>1058.0999999999999</v>
      </c>
      <c r="E55" s="14">
        <f>C55*D55</f>
        <v>4285.3049999999994</v>
      </c>
    </row>
    <row r="56" spans="2:7" ht="4.5" customHeight="1" x14ac:dyDescent="0.3">
      <c r="B56" s="8"/>
      <c r="C56" s="8"/>
      <c r="D56" s="8"/>
      <c r="E56" s="8"/>
    </row>
    <row r="57" spans="2:7" x14ac:dyDescent="0.3">
      <c r="B57" s="70" t="s">
        <v>3</v>
      </c>
      <c r="C57" s="70"/>
      <c r="D57" s="70"/>
      <c r="E57" s="70"/>
    </row>
    <row r="58" spans="2:7" ht="37.5" customHeight="1" x14ac:dyDescent="0.3">
      <c r="B58" s="4" t="s">
        <v>43</v>
      </c>
      <c r="C58" s="10">
        <v>4.05</v>
      </c>
      <c r="D58" s="10">
        <v>1536.09</v>
      </c>
      <c r="E58" s="14">
        <f>C58*D58</f>
        <v>6221.164499999999</v>
      </c>
      <c r="G58" s="1" t="s">
        <v>119</v>
      </c>
    </row>
    <row r="59" spans="2:7" ht="6.75" customHeight="1" x14ac:dyDescent="0.3">
      <c r="B59" s="9"/>
      <c r="C59" s="9"/>
      <c r="D59" s="9"/>
      <c r="E59" s="9"/>
    </row>
    <row r="60" spans="2:7" x14ac:dyDescent="0.3">
      <c r="B60" s="70" t="s">
        <v>39</v>
      </c>
      <c r="C60" s="70"/>
      <c r="D60" s="70"/>
      <c r="E60" s="70"/>
    </row>
    <row r="61" spans="2:7" x14ac:dyDescent="0.3">
      <c r="B61" s="8" t="s">
        <v>200</v>
      </c>
      <c r="C61" s="8">
        <v>4.05</v>
      </c>
      <c r="D61" s="37">
        <v>1058.0999999999999</v>
      </c>
      <c r="E61" s="14">
        <f>C61*D61</f>
        <v>4285.3049999999994</v>
      </c>
    </row>
    <row r="62" spans="2:7" x14ac:dyDescent="0.3">
      <c r="B62" s="8" t="s">
        <v>201</v>
      </c>
      <c r="C62" s="8">
        <v>3.32</v>
      </c>
      <c r="D62" s="37">
        <v>1058.0999999999999</v>
      </c>
      <c r="E62" s="14">
        <f>C62*D62</f>
        <v>3512.8919999999994</v>
      </c>
    </row>
    <row r="63" spans="2:7" ht="4.5" customHeight="1" x14ac:dyDescent="0.3">
      <c r="B63" s="8"/>
      <c r="C63" s="8"/>
      <c r="D63" s="8"/>
      <c r="E63" s="8"/>
    </row>
    <row r="64" spans="2:7" x14ac:dyDescent="0.3">
      <c r="B64" s="70" t="s">
        <v>44</v>
      </c>
      <c r="C64" s="70"/>
      <c r="D64" s="70"/>
      <c r="E64" s="70"/>
    </row>
    <row r="65" spans="2:11" x14ac:dyDescent="0.3">
      <c r="B65" s="4" t="s">
        <v>46</v>
      </c>
      <c r="C65" s="8">
        <v>4.95</v>
      </c>
      <c r="D65" s="37">
        <v>2093.9</v>
      </c>
      <c r="E65" s="14">
        <f>C65*D65</f>
        <v>10364.805</v>
      </c>
    </row>
    <row r="66" spans="2:11" ht="4.5" customHeight="1" x14ac:dyDescent="0.3">
      <c r="B66" s="8"/>
      <c r="C66" s="8"/>
      <c r="D66" s="8"/>
      <c r="E66" s="8"/>
    </row>
    <row r="67" spans="2:11" x14ac:dyDescent="0.3">
      <c r="B67" s="70" t="s">
        <v>90</v>
      </c>
      <c r="C67" s="70"/>
      <c r="D67" s="70"/>
      <c r="E67" s="70"/>
    </row>
    <row r="68" spans="2:11" ht="28.8" x14ac:dyDescent="0.3">
      <c r="B68" s="4" t="s">
        <v>91</v>
      </c>
      <c r="C68" s="8">
        <v>4.05</v>
      </c>
      <c r="D68" s="37">
        <v>2093.9</v>
      </c>
      <c r="E68" s="14">
        <f>C68*D68</f>
        <v>8480.2950000000001</v>
      </c>
    </row>
    <row r="70" spans="2:11" x14ac:dyDescent="0.3">
      <c r="B70" s="61" t="s">
        <v>160</v>
      </c>
      <c r="C70" s="61"/>
      <c r="D70" s="61"/>
      <c r="E70" s="61"/>
    </row>
    <row r="72" spans="2:11" ht="57.6" x14ac:dyDescent="0.3">
      <c r="B72" s="8"/>
      <c r="C72" s="4" t="s">
        <v>15</v>
      </c>
      <c r="D72" s="4" t="s">
        <v>148</v>
      </c>
      <c r="E72" s="4" t="s">
        <v>168</v>
      </c>
    </row>
    <row r="73" spans="2:11" x14ac:dyDescent="0.3">
      <c r="B73" s="8" t="s">
        <v>47</v>
      </c>
      <c r="C73" s="8">
        <v>2.91</v>
      </c>
      <c r="D73" s="37">
        <v>1058.0999999999999</v>
      </c>
      <c r="E73" s="14">
        <f>C73*D73</f>
        <v>3079.0709999999999</v>
      </c>
      <c r="K73" s="31"/>
    </row>
    <row r="74" spans="2:11" x14ac:dyDescent="0.3">
      <c r="B74" s="8" t="s">
        <v>48</v>
      </c>
      <c r="C74" s="8">
        <v>2.85</v>
      </c>
      <c r="D74" s="37">
        <v>1058.0999999999999</v>
      </c>
      <c r="E74" s="14">
        <f>C74*D74</f>
        <v>3015.585</v>
      </c>
    </row>
    <row r="76" spans="2:11" ht="28.5" customHeight="1" x14ac:dyDescent="0.3">
      <c r="B76" s="69" t="s">
        <v>161</v>
      </c>
      <c r="C76" s="69"/>
      <c r="D76" s="69"/>
      <c r="E76" s="69"/>
    </row>
    <row r="78" spans="2:11" ht="57.6" x14ac:dyDescent="0.3">
      <c r="B78" s="8"/>
      <c r="C78" s="4" t="s">
        <v>15</v>
      </c>
      <c r="D78" s="4" t="s">
        <v>148</v>
      </c>
      <c r="E78" s="4" t="s">
        <v>169</v>
      </c>
    </row>
    <row r="79" spans="2:11" hidden="1" x14ac:dyDescent="0.3">
      <c r="B79" s="8" t="s">
        <v>50</v>
      </c>
      <c r="C79" s="8">
        <v>3.2</v>
      </c>
      <c r="D79" s="8">
        <v>976.47</v>
      </c>
      <c r="E79" s="14">
        <f>976.47*3.2</f>
        <v>3124.7040000000002</v>
      </c>
      <c r="F79" t="s">
        <v>75</v>
      </c>
    </row>
    <row r="80" spans="2:11" x14ac:dyDescent="0.3">
      <c r="B80" s="8" t="s">
        <v>157</v>
      </c>
      <c r="C80" s="8">
        <v>3.2</v>
      </c>
      <c r="D80" s="8">
        <v>926</v>
      </c>
      <c r="E80" s="14">
        <f>D80*C80</f>
        <v>2963.2000000000003</v>
      </c>
    </row>
    <row r="81" spans="2:9" x14ac:dyDescent="0.3">
      <c r="B81" s="8" t="s">
        <v>156</v>
      </c>
      <c r="C81" s="8">
        <v>3.2</v>
      </c>
      <c r="D81" s="37">
        <v>1058.0999999999999</v>
      </c>
      <c r="E81" s="14">
        <f>D81*C81</f>
        <v>3385.92</v>
      </c>
    </row>
    <row r="82" spans="2:9" x14ac:dyDescent="0.3">
      <c r="B82" s="8" t="s">
        <v>52</v>
      </c>
      <c r="C82" s="8">
        <v>4.93</v>
      </c>
      <c r="D82" s="37">
        <v>1058.0999999999999</v>
      </c>
      <c r="E82" s="14">
        <f>C82*D82</f>
        <v>5216.4329999999991</v>
      </c>
      <c r="H82" s="33"/>
      <c r="I82" s="32"/>
    </row>
    <row r="83" spans="2:9" x14ac:dyDescent="0.3">
      <c r="B83" s="8" t="s">
        <v>53</v>
      </c>
      <c r="C83" s="8">
        <v>4.68</v>
      </c>
      <c r="D83" s="37">
        <v>1058.0999999999999</v>
      </c>
      <c r="E83" s="14">
        <f>C83*D83</f>
        <v>4951.9079999999994</v>
      </c>
    </row>
    <row r="84" spans="2:9" x14ac:dyDescent="0.3">
      <c r="B84" s="8" t="s">
        <v>202</v>
      </c>
      <c r="C84" s="8">
        <v>4.68</v>
      </c>
      <c r="D84" s="37">
        <v>1058.0999999999999</v>
      </c>
      <c r="E84" s="14">
        <f>C84*D84</f>
        <v>4951.9079999999994</v>
      </c>
    </row>
    <row r="85" spans="2:9" x14ac:dyDescent="0.3">
      <c r="B85" s="8" t="s">
        <v>203</v>
      </c>
      <c r="C85" s="8">
        <v>3.63</v>
      </c>
      <c r="D85" s="37">
        <v>1058.0999999999999</v>
      </c>
      <c r="E85" s="14">
        <f>C85*D85</f>
        <v>3840.9029999999993</v>
      </c>
    </row>
    <row r="86" spans="2:9" x14ac:dyDescent="0.3">
      <c r="B86" t="s">
        <v>77</v>
      </c>
    </row>
    <row r="88" spans="2:9" x14ac:dyDescent="0.3">
      <c r="B88" s="61" t="s">
        <v>162</v>
      </c>
      <c r="C88" s="61"/>
      <c r="D88" s="61"/>
      <c r="E88" s="61"/>
    </row>
    <row r="89" spans="2:9" x14ac:dyDescent="0.3">
      <c r="B89" s="13"/>
      <c r="C89" s="13"/>
      <c r="D89" s="13"/>
      <c r="E89" s="13"/>
    </row>
    <row r="90" spans="2:9" ht="57.6" x14ac:dyDescent="0.3">
      <c r="B90" s="8"/>
      <c r="C90" s="4" t="s">
        <v>72</v>
      </c>
      <c r="D90" s="4" t="s">
        <v>148</v>
      </c>
      <c r="E90" s="4" t="s">
        <v>168</v>
      </c>
    </row>
    <row r="91" spans="2:9" x14ac:dyDescent="0.3">
      <c r="B91" s="16" t="s">
        <v>84</v>
      </c>
      <c r="C91" s="8">
        <v>0.9</v>
      </c>
      <c r="D91" s="18">
        <v>1108.77</v>
      </c>
      <c r="E91" s="14">
        <f>D91*0.9</f>
        <v>997.89300000000003</v>
      </c>
    </row>
    <row r="92" spans="2:9" x14ac:dyDescent="0.3">
      <c r="B92" s="16" t="s">
        <v>85</v>
      </c>
      <c r="C92" s="8">
        <v>2.4</v>
      </c>
      <c r="D92" s="18">
        <v>1108.77</v>
      </c>
      <c r="E92" s="14">
        <f>D92*2.4</f>
        <v>2661.0479999999998</v>
      </c>
    </row>
    <row r="93" spans="2:9" x14ac:dyDescent="0.3">
      <c r="B93" s="16" t="s">
        <v>86</v>
      </c>
      <c r="C93" s="8">
        <v>3</v>
      </c>
      <c r="D93" s="18">
        <v>1108.77</v>
      </c>
      <c r="E93" s="14">
        <f>D93*3</f>
        <v>3326.31</v>
      </c>
    </row>
  </sheetData>
  <mergeCells count="20">
    <mergeCell ref="B67:E67"/>
    <mergeCell ref="B70:E70"/>
    <mergeCell ref="B76:E76"/>
    <mergeCell ref="B88:E88"/>
    <mergeCell ref="B40:E40"/>
    <mergeCell ref="B43:E43"/>
    <mergeCell ref="B54:E54"/>
    <mergeCell ref="B57:E57"/>
    <mergeCell ref="B60:E60"/>
    <mergeCell ref="B64:E64"/>
    <mergeCell ref="B47:E47"/>
    <mergeCell ref="B50:E50"/>
    <mergeCell ref="B37:E37"/>
    <mergeCell ref="B1:E1"/>
    <mergeCell ref="B4:E4"/>
    <mergeCell ref="B24:E24"/>
    <mergeCell ref="B28:E28"/>
    <mergeCell ref="B34:E34"/>
    <mergeCell ref="B5:E5"/>
    <mergeCell ref="B11:E11"/>
  </mergeCells>
  <pageMargins left="0.7" right="0.7" top="0.75" bottom="0.75"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F153-5F63-430B-BBA6-E448124AF7D8}">
  <dimension ref="C2:N21"/>
  <sheetViews>
    <sheetView workbookViewId="0">
      <selection activeCell="I4" sqref="I4:N21"/>
    </sheetView>
  </sheetViews>
  <sheetFormatPr defaultRowHeight="14.4" x14ac:dyDescent="0.3"/>
  <cols>
    <col min="11" max="11" width="12.5546875" customWidth="1"/>
    <col min="12" max="12" width="11.33203125" customWidth="1"/>
    <col min="13" max="13" width="13.44140625" customWidth="1"/>
    <col min="14" max="14" width="12.6640625" customWidth="1"/>
  </cols>
  <sheetData>
    <row r="2" spans="3:14" x14ac:dyDescent="0.3">
      <c r="G2">
        <v>1025.29</v>
      </c>
    </row>
    <row r="3" spans="3:14" ht="15" thickBot="1" x14ac:dyDescent="0.35"/>
    <row r="4" spans="3:14" ht="42.75" customHeight="1" thickBot="1" x14ac:dyDescent="0.35">
      <c r="C4" s="19" t="s">
        <v>92</v>
      </c>
      <c r="D4" s="80" t="s">
        <v>94</v>
      </c>
      <c r="E4" s="82" t="s">
        <v>95</v>
      </c>
      <c r="F4" s="83"/>
      <c r="G4" s="84"/>
      <c r="J4" s="22" t="s">
        <v>92</v>
      </c>
      <c r="K4" s="85" t="s">
        <v>94</v>
      </c>
      <c r="L4" s="87" t="s">
        <v>95</v>
      </c>
      <c r="M4" s="88"/>
      <c r="N4" s="89"/>
    </row>
    <row r="5" spans="3:14" ht="31.8" thickBot="1" x14ac:dyDescent="0.35">
      <c r="C5" s="20" t="s">
        <v>93</v>
      </c>
      <c r="D5" s="81"/>
      <c r="E5" s="21" t="s">
        <v>96</v>
      </c>
      <c r="F5" s="21" t="s">
        <v>97</v>
      </c>
      <c r="G5" s="21" t="s">
        <v>98</v>
      </c>
      <c r="J5" s="23" t="s">
        <v>93</v>
      </c>
      <c r="K5" s="86"/>
      <c r="L5" s="22" t="s">
        <v>96</v>
      </c>
      <c r="M5" s="22" t="s">
        <v>97</v>
      </c>
      <c r="N5" s="22" t="s">
        <v>98</v>
      </c>
    </row>
    <row r="6" spans="3:14" ht="16.2" thickBot="1" x14ac:dyDescent="0.35">
      <c r="C6" s="21" t="s">
        <v>99</v>
      </c>
      <c r="D6" s="21">
        <v>16</v>
      </c>
      <c r="E6" s="21">
        <v>3.0350000000000001</v>
      </c>
      <c r="F6" s="21">
        <v>4.3360000000000003</v>
      </c>
      <c r="G6" s="21">
        <v>4.55</v>
      </c>
      <c r="J6" s="24" t="s">
        <v>99</v>
      </c>
      <c r="K6" s="25">
        <v>16</v>
      </c>
      <c r="L6" s="26">
        <f>E6*G2</f>
        <v>3111.75515</v>
      </c>
      <c r="M6" s="26">
        <f>F6*G2</f>
        <v>4445.65744</v>
      </c>
      <c r="N6" s="26">
        <f>G6*G2</f>
        <v>4665.0694999999996</v>
      </c>
    </row>
    <row r="7" spans="3:14" ht="16.2" thickBot="1" x14ac:dyDescent="0.35">
      <c r="C7" s="21" t="s">
        <v>100</v>
      </c>
      <c r="D7" s="21">
        <v>15</v>
      </c>
      <c r="E7" s="21">
        <v>2.8359999999999999</v>
      </c>
      <c r="F7" s="21">
        <v>4.05</v>
      </c>
      <c r="G7" s="21">
        <v>4.3540000000000001</v>
      </c>
      <c r="J7" s="24" t="s">
        <v>100</v>
      </c>
      <c r="K7" s="25">
        <v>15</v>
      </c>
      <c r="L7" s="26">
        <f>E7*G2</f>
        <v>2907.7224399999996</v>
      </c>
      <c r="M7" s="26">
        <f>F7*G2</f>
        <v>4152.4245000000001</v>
      </c>
      <c r="N7" s="26">
        <f>G7*G2</f>
        <v>4464.1126599999998</v>
      </c>
    </row>
    <row r="8" spans="3:14" ht="16.2" thickBot="1" x14ac:dyDescent="0.35">
      <c r="C8" s="21" t="s">
        <v>101</v>
      </c>
      <c r="D8" s="21">
        <v>14</v>
      </c>
      <c r="E8" s="21">
        <v>2.3690000000000002</v>
      </c>
      <c r="F8" s="21">
        <v>3.3849999999999998</v>
      </c>
      <c r="G8" s="21">
        <v>4.0620000000000003</v>
      </c>
      <c r="J8" s="24" t="s">
        <v>101</v>
      </c>
      <c r="K8" s="25">
        <v>14</v>
      </c>
      <c r="L8" s="26">
        <f>E8*G2</f>
        <v>2428.91201</v>
      </c>
      <c r="M8" s="26">
        <f>F8*G2</f>
        <v>3470.6066499999997</v>
      </c>
      <c r="N8" s="26">
        <f>G8*G2</f>
        <v>4164.7279800000006</v>
      </c>
    </row>
    <row r="9" spans="3:14" ht="16.2" thickBot="1" x14ac:dyDescent="0.35">
      <c r="C9" s="21" t="s">
        <v>102</v>
      </c>
      <c r="D9" s="21">
        <v>13</v>
      </c>
      <c r="E9" s="21">
        <v>1.911</v>
      </c>
      <c r="F9" s="21">
        <v>2.73</v>
      </c>
      <c r="G9" s="21">
        <v>3.2759999999999998</v>
      </c>
      <c r="J9" s="24" t="s">
        <v>102</v>
      </c>
      <c r="K9" s="25">
        <v>13</v>
      </c>
      <c r="L9" s="26">
        <f>E9*G2</f>
        <v>1959.3291899999999</v>
      </c>
      <c r="M9" s="26">
        <f>F9*G2</f>
        <v>2799.0416999999998</v>
      </c>
      <c r="N9" s="26">
        <f>G9*G2</f>
        <v>3358.8500399999998</v>
      </c>
    </row>
    <row r="10" spans="3:14" ht="16.2" thickBot="1" x14ac:dyDescent="0.35">
      <c r="C10" s="21" t="s">
        <v>103</v>
      </c>
      <c r="D10" s="21">
        <v>12</v>
      </c>
      <c r="E10" s="21">
        <v>1.5349999999999999</v>
      </c>
      <c r="F10" s="21">
        <v>2.194</v>
      </c>
      <c r="G10" s="21">
        <v>2.7429999999999999</v>
      </c>
      <c r="J10" s="24" t="s">
        <v>103</v>
      </c>
      <c r="K10" s="25">
        <v>12</v>
      </c>
      <c r="L10" s="26">
        <f>E10*G2</f>
        <v>1573.8201499999998</v>
      </c>
      <c r="M10" s="26">
        <f>F10*G2</f>
        <v>2249.4862599999997</v>
      </c>
      <c r="N10" s="26">
        <f>G10*G2</f>
        <v>2812.3704699999998</v>
      </c>
    </row>
    <row r="11" spans="3:14" ht="16.2" thickBot="1" x14ac:dyDescent="0.35">
      <c r="C11" s="21" t="s">
        <v>104</v>
      </c>
      <c r="D11" s="21">
        <v>11</v>
      </c>
      <c r="E11" s="21">
        <v>1.23</v>
      </c>
      <c r="F11" s="21">
        <v>1.7569999999999999</v>
      </c>
      <c r="G11" s="21">
        <v>2.1970000000000001</v>
      </c>
      <c r="J11" s="24" t="s">
        <v>104</v>
      </c>
      <c r="K11" s="25">
        <v>11</v>
      </c>
      <c r="L11" s="26">
        <f>E11*G2</f>
        <v>1261.1067</v>
      </c>
      <c r="M11" s="26">
        <f>F11*G2</f>
        <v>1801.4345299999998</v>
      </c>
      <c r="N11" s="26">
        <f>G11*G2</f>
        <v>2252.5621299999998</v>
      </c>
    </row>
    <row r="12" spans="3:14" ht="16.2" thickBot="1" x14ac:dyDescent="0.35">
      <c r="C12" s="21" t="s">
        <v>105</v>
      </c>
      <c r="D12" s="21">
        <v>10</v>
      </c>
      <c r="E12" s="21">
        <v>1.0169999999999999</v>
      </c>
      <c r="F12" s="21">
        <v>1.4530000000000001</v>
      </c>
      <c r="G12" s="21">
        <v>1.8169999999999999</v>
      </c>
      <c r="J12" s="24" t="s">
        <v>105</v>
      </c>
      <c r="K12" s="25">
        <v>10</v>
      </c>
      <c r="L12" s="26">
        <f>E12*G2</f>
        <v>1042.71993</v>
      </c>
      <c r="M12" s="26">
        <f>F12*G2</f>
        <v>1489.7463700000001</v>
      </c>
      <c r="N12" s="26">
        <f>G12*G2</f>
        <v>1862.9519299999999</v>
      </c>
    </row>
    <row r="13" spans="3:14" ht="16.2" thickBot="1" x14ac:dyDescent="0.35">
      <c r="C13" s="21" t="s">
        <v>106</v>
      </c>
      <c r="D13" s="21">
        <v>9</v>
      </c>
      <c r="E13" s="21">
        <v>0.85</v>
      </c>
      <c r="F13" s="21">
        <v>1.2150000000000001</v>
      </c>
      <c r="G13" s="21">
        <v>1.579</v>
      </c>
      <c r="J13" s="24" t="s">
        <v>106</v>
      </c>
      <c r="K13" s="25">
        <v>9</v>
      </c>
      <c r="L13" s="26">
        <f>E13*G2</f>
        <v>871.49649999999997</v>
      </c>
      <c r="M13" s="26">
        <f>F13*G2</f>
        <v>1245.7273500000001</v>
      </c>
      <c r="N13" s="26">
        <f>G13*G2</f>
        <v>1618.93291</v>
      </c>
    </row>
    <row r="14" spans="3:14" ht="16.2" thickBot="1" x14ac:dyDescent="0.35">
      <c r="C14" s="21" t="s">
        <v>107</v>
      </c>
      <c r="D14" s="21">
        <v>8</v>
      </c>
      <c r="E14" s="21">
        <v>0.79600000000000004</v>
      </c>
      <c r="F14" s="21">
        <v>1.137</v>
      </c>
      <c r="G14" s="21">
        <v>1.4790000000000001</v>
      </c>
      <c r="J14" s="24" t="s">
        <v>107</v>
      </c>
      <c r="K14" s="25">
        <v>8</v>
      </c>
      <c r="L14" s="26">
        <f>E14*G2</f>
        <v>816.13084000000003</v>
      </c>
      <c r="M14" s="26">
        <f>F14*G2</f>
        <v>1165.7547299999999</v>
      </c>
      <c r="N14" s="26">
        <f>G14*G2</f>
        <v>1516.40391</v>
      </c>
    </row>
    <row r="15" spans="3:14" ht="16.2" thickBot="1" x14ac:dyDescent="0.35">
      <c r="C15" s="21" t="s">
        <v>108</v>
      </c>
      <c r="D15" s="21">
        <v>7</v>
      </c>
      <c r="E15" s="21">
        <v>0.66600000000000004</v>
      </c>
      <c r="F15" s="21">
        <v>0.95</v>
      </c>
      <c r="G15" s="21">
        <v>1.236</v>
      </c>
      <c r="J15" s="24" t="s">
        <v>108</v>
      </c>
      <c r="K15" s="25">
        <v>7</v>
      </c>
      <c r="L15" s="26">
        <f>E15*G2</f>
        <v>682.84314000000006</v>
      </c>
      <c r="M15" s="26">
        <f>F15*G2</f>
        <v>974.02549999999997</v>
      </c>
      <c r="N15" s="26">
        <f>G15*G2</f>
        <v>1267.2584399999998</v>
      </c>
    </row>
    <row r="16" spans="3:14" ht="16.2" thickBot="1" x14ac:dyDescent="0.35">
      <c r="C16" s="21" t="s">
        <v>109</v>
      </c>
      <c r="D16" s="21">
        <v>6</v>
      </c>
      <c r="E16" s="21">
        <v>0.623</v>
      </c>
      <c r="F16" s="21">
        <v>0.89</v>
      </c>
      <c r="G16" s="21">
        <v>1.1559999999999999</v>
      </c>
      <c r="J16" s="24" t="s">
        <v>109</v>
      </c>
      <c r="K16" s="25">
        <v>6</v>
      </c>
      <c r="L16" s="26">
        <f>E16*G2</f>
        <v>638.75567000000001</v>
      </c>
      <c r="M16" s="26">
        <f>F16*G2</f>
        <v>912.50810000000001</v>
      </c>
      <c r="N16" s="26">
        <f>G16*G2</f>
        <v>1185.23524</v>
      </c>
    </row>
    <row r="17" spans="3:14" ht="16.2" thickBot="1" x14ac:dyDescent="0.35">
      <c r="C17" s="21" t="s">
        <v>110</v>
      </c>
      <c r="D17" s="21">
        <v>5</v>
      </c>
      <c r="E17" s="21">
        <v>0.58199999999999996</v>
      </c>
      <c r="F17" s="21">
        <v>0.83199999999999996</v>
      </c>
      <c r="G17" s="21">
        <v>1.08</v>
      </c>
      <c r="J17" s="24" t="s">
        <v>110</v>
      </c>
      <c r="K17" s="25">
        <v>5</v>
      </c>
      <c r="L17" s="26">
        <f>E17*G2</f>
        <v>596.71877999999992</v>
      </c>
      <c r="M17" s="26">
        <f>F17*G2</f>
        <v>853.04127999999992</v>
      </c>
      <c r="N17" s="26">
        <f>G17*G2</f>
        <v>1107.3132000000001</v>
      </c>
    </row>
    <row r="18" spans="3:14" ht="16.2" thickBot="1" x14ac:dyDescent="0.35">
      <c r="C18" s="21" t="s">
        <v>111</v>
      </c>
      <c r="D18" s="21">
        <v>4</v>
      </c>
      <c r="E18" s="21">
        <v>0.56999999999999995</v>
      </c>
      <c r="F18" s="21">
        <v>0.81399999999999995</v>
      </c>
      <c r="G18" s="21">
        <v>1.0589999999999999</v>
      </c>
      <c r="J18" s="24" t="s">
        <v>111</v>
      </c>
      <c r="K18" s="25">
        <v>4</v>
      </c>
      <c r="L18" s="26">
        <f>E18*G2</f>
        <v>584.41529999999989</v>
      </c>
      <c r="M18" s="26">
        <f>F18*G2</f>
        <v>834.58605999999986</v>
      </c>
      <c r="N18" s="26">
        <f>G18*G2</f>
        <v>1085.7821099999999</v>
      </c>
    </row>
    <row r="19" spans="3:14" ht="16.2" thickBot="1" x14ac:dyDescent="0.35">
      <c r="C19" s="21" t="s">
        <v>112</v>
      </c>
      <c r="D19" s="21">
        <v>3</v>
      </c>
      <c r="E19" s="21">
        <v>0.441</v>
      </c>
      <c r="F19" s="21">
        <v>0.59199999999999997</v>
      </c>
      <c r="G19" s="21">
        <v>0.76900000000000002</v>
      </c>
      <c r="J19" s="24" t="s">
        <v>112</v>
      </c>
      <c r="K19" s="25">
        <v>3</v>
      </c>
      <c r="L19" s="26">
        <f>E19*G2</f>
        <v>452.15289000000001</v>
      </c>
      <c r="M19" s="26">
        <f>F19*G2</f>
        <v>606.97167999999999</v>
      </c>
      <c r="N19" s="26">
        <f>G19*G2</f>
        <v>788.44800999999995</v>
      </c>
    </row>
    <row r="20" spans="3:14" ht="16.2" thickBot="1" x14ac:dyDescent="0.35">
      <c r="C20" s="21" t="s">
        <v>113</v>
      </c>
      <c r="D20" s="21">
        <v>2</v>
      </c>
      <c r="E20" s="21">
        <v>0.441</v>
      </c>
      <c r="F20" s="21">
        <v>0.58099999999999996</v>
      </c>
      <c r="G20" s="21">
        <v>0.755</v>
      </c>
      <c r="J20" s="24" t="s">
        <v>113</v>
      </c>
      <c r="K20" s="25">
        <v>2</v>
      </c>
      <c r="L20" s="26">
        <f>E20*G2</f>
        <v>452.15289000000001</v>
      </c>
      <c r="M20" s="26">
        <f>F20*G2</f>
        <v>595.69348999999988</v>
      </c>
      <c r="N20" s="26">
        <f>G20*G2</f>
        <v>774.09394999999995</v>
      </c>
    </row>
    <row r="21" spans="3:14" ht="16.2" thickBot="1" x14ac:dyDescent="0.35">
      <c r="C21" s="21" t="s">
        <v>114</v>
      </c>
      <c r="D21" s="21">
        <v>1</v>
      </c>
      <c r="E21" s="21">
        <v>0.441</v>
      </c>
      <c r="F21" s="21">
        <v>0.56200000000000006</v>
      </c>
      <c r="G21" s="21">
        <v>0.73099999999999998</v>
      </c>
      <c r="J21" s="24" t="s">
        <v>114</v>
      </c>
      <c r="K21" s="25">
        <v>1</v>
      </c>
      <c r="L21" s="26">
        <f>E21*G2</f>
        <v>452.15289000000001</v>
      </c>
      <c r="M21" s="26">
        <f>F21*G2</f>
        <v>576.21298000000002</v>
      </c>
      <c r="N21" s="26">
        <f>G21*G2</f>
        <v>749.48698999999999</v>
      </c>
    </row>
  </sheetData>
  <mergeCells count="4">
    <mergeCell ref="D4:D5"/>
    <mergeCell ref="E4:G4"/>
    <mergeCell ref="K4:K5"/>
    <mergeCell ref="L4:N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B5634-A470-4CA4-A137-18E53D164881}">
  <dimension ref="C2:I46"/>
  <sheetViews>
    <sheetView topLeftCell="A27" workbookViewId="0">
      <selection activeCell="L32" sqref="L32"/>
    </sheetView>
  </sheetViews>
  <sheetFormatPr defaultRowHeight="14.4" x14ac:dyDescent="0.3"/>
  <cols>
    <col min="4" max="4" width="11.5546875" customWidth="1"/>
    <col min="5" max="5" width="12.109375" customWidth="1"/>
    <col min="6" max="6" width="13.33203125" customWidth="1"/>
    <col min="7" max="7" width="12.5546875" customWidth="1"/>
  </cols>
  <sheetData>
    <row r="2" spans="3:9" hidden="1" x14ac:dyDescent="0.3"/>
    <row r="3" spans="3:9" ht="45" hidden="1" customHeight="1" x14ac:dyDescent="0.3">
      <c r="C3" s="69" t="s">
        <v>115</v>
      </c>
      <c r="D3" s="69"/>
      <c r="E3" s="69"/>
      <c r="F3" s="69"/>
      <c r="G3" s="69"/>
      <c r="H3" s="69"/>
    </row>
    <row r="4" spans="3:9" hidden="1" x14ac:dyDescent="0.3"/>
    <row r="5" spans="3:9" hidden="1" x14ac:dyDescent="0.3"/>
    <row r="6" spans="3:9" s="1" customFormat="1" ht="48" hidden="1" customHeight="1" x14ac:dyDescent="0.3">
      <c r="C6" s="28" t="s">
        <v>92</v>
      </c>
      <c r="D6" s="64" t="s">
        <v>94</v>
      </c>
      <c r="E6" s="64" t="s">
        <v>117</v>
      </c>
      <c r="F6" s="64"/>
      <c r="G6" s="64"/>
      <c r="I6" s="38"/>
    </row>
    <row r="7" spans="3:9" hidden="1" x14ac:dyDescent="0.3">
      <c r="C7" s="29" t="s">
        <v>93</v>
      </c>
      <c r="D7" s="64"/>
      <c r="E7" s="8" t="s">
        <v>96</v>
      </c>
      <c r="F7" s="8" t="s">
        <v>97</v>
      </c>
      <c r="G7" s="8" t="s">
        <v>98</v>
      </c>
    </row>
    <row r="8" spans="3:9" hidden="1" x14ac:dyDescent="0.3">
      <c r="C8" s="17" t="s">
        <v>99</v>
      </c>
      <c r="D8" s="17">
        <v>16</v>
      </c>
      <c r="E8" s="27">
        <v>3111.75515</v>
      </c>
      <c r="F8" s="27">
        <v>4445.65744</v>
      </c>
      <c r="G8" s="27">
        <v>4665.0694999999996</v>
      </c>
    </row>
    <row r="9" spans="3:9" hidden="1" x14ac:dyDescent="0.3">
      <c r="C9" s="17" t="s">
        <v>100</v>
      </c>
      <c r="D9" s="17">
        <v>15</v>
      </c>
      <c r="E9" s="27">
        <v>2907.7224399999996</v>
      </c>
      <c r="F9" s="27">
        <v>4152.4245000000001</v>
      </c>
      <c r="G9" s="27">
        <v>4464.1126599999998</v>
      </c>
    </row>
    <row r="10" spans="3:9" hidden="1" x14ac:dyDescent="0.3">
      <c r="C10" s="17" t="s">
        <v>101</v>
      </c>
      <c r="D10" s="17">
        <v>14</v>
      </c>
      <c r="E10" s="27">
        <v>2428.91201</v>
      </c>
      <c r="F10" s="27">
        <v>3470.6066499999997</v>
      </c>
      <c r="G10" s="27">
        <v>4164.7279800000006</v>
      </c>
    </row>
    <row r="11" spans="3:9" hidden="1" x14ac:dyDescent="0.3">
      <c r="C11" s="17" t="s">
        <v>102</v>
      </c>
      <c r="D11" s="17">
        <v>13</v>
      </c>
      <c r="E11" s="27">
        <v>1959.3291899999999</v>
      </c>
      <c r="F11" s="27">
        <v>2799.0416999999998</v>
      </c>
      <c r="G11" s="27">
        <v>3358.8500399999998</v>
      </c>
    </row>
    <row r="12" spans="3:9" hidden="1" x14ac:dyDescent="0.3">
      <c r="C12" s="17" t="s">
        <v>103</v>
      </c>
      <c r="D12" s="17">
        <v>12</v>
      </c>
      <c r="E12" s="27">
        <v>1573.8201499999998</v>
      </c>
      <c r="F12" s="27">
        <v>2249.4862599999997</v>
      </c>
      <c r="G12" s="27">
        <v>2812.3704699999998</v>
      </c>
    </row>
    <row r="13" spans="3:9" hidden="1" x14ac:dyDescent="0.3">
      <c r="C13" s="17" t="s">
        <v>104</v>
      </c>
      <c r="D13" s="17">
        <v>11</v>
      </c>
      <c r="E13" s="27">
        <v>1261.1067</v>
      </c>
      <c r="F13" s="27">
        <v>1801.4345299999998</v>
      </c>
      <c r="G13" s="27">
        <v>2252.5621299999998</v>
      </c>
    </row>
    <row r="14" spans="3:9" hidden="1" x14ac:dyDescent="0.3">
      <c r="C14" s="17" t="s">
        <v>105</v>
      </c>
      <c r="D14" s="17">
        <v>10</v>
      </c>
      <c r="E14" s="27">
        <v>1042.71993</v>
      </c>
      <c r="F14" s="27">
        <v>1489.7463700000001</v>
      </c>
      <c r="G14" s="27">
        <v>1862.9519299999999</v>
      </c>
    </row>
    <row r="15" spans="3:9" hidden="1" x14ac:dyDescent="0.3">
      <c r="C15" s="17" t="s">
        <v>106</v>
      </c>
      <c r="D15" s="17">
        <v>9</v>
      </c>
      <c r="E15" s="27">
        <v>871.49649999999997</v>
      </c>
      <c r="F15" s="27">
        <v>1245.7273500000001</v>
      </c>
      <c r="G15" s="27">
        <v>1618.93291</v>
      </c>
    </row>
    <row r="16" spans="3:9" hidden="1" x14ac:dyDescent="0.3">
      <c r="C16" s="17" t="s">
        <v>107</v>
      </c>
      <c r="D16" s="17">
        <v>8</v>
      </c>
      <c r="E16" s="27">
        <v>816.13084000000003</v>
      </c>
      <c r="F16" s="27">
        <v>1165.7547299999999</v>
      </c>
      <c r="G16" s="27">
        <v>1516.40391</v>
      </c>
    </row>
    <row r="17" spans="3:8" hidden="1" x14ac:dyDescent="0.3">
      <c r="C17" s="17" t="s">
        <v>108</v>
      </c>
      <c r="D17" s="17">
        <v>7</v>
      </c>
      <c r="E17" s="27">
        <v>682.84314000000006</v>
      </c>
      <c r="F17" s="27">
        <v>974.02549999999997</v>
      </c>
      <c r="G17" s="27">
        <v>1267.2584399999998</v>
      </c>
    </row>
    <row r="18" spans="3:8" hidden="1" x14ac:dyDescent="0.3">
      <c r="C18" s="17" t="s">
        <v>109</v>
      </c>
      <c r="D18" s="17">
        <v>6</v>
      </c>
      <c r="E18" s="27">
        <v>638.75567000000001</v>
      </c>
      <c r="F18" s="27">
        <v>912.50810000000001</v>
      </c>
      <c r="G18" s="27">
        <v>1185.23524</v>
      </c>
    </row>
    <row r="19" spans="3:8" hidden="1" x14ac:dyDescent="0.3">
      <c r="C19" s="17" t="s">
        <v>110</v>
      </c>
      <c r="D19" s="17">
        <v>5</v>
      </c>
      <c r="E19" s="27">
        <v>596.71877999999992</v>
      </c>
      <c r="F19" s="27">
        <v>853.04127999999992</v>
      </c>
      <c r="G19" s="27">
        <v>1107.3132000000001</v>
      </c>
    </row>
    <row r="20" spans="3:8" hidden="1" x14ac:dyDescent="0.3">
      <c r="C20" s="17" t="s">
        <v>111</v>
      </c>
      <c r="D20" s="17">
        <v>4</v>
      </c>
      <c r="E20" s="27">
        <v>584.41529999999989</v>
      </c>
      <c r="F20" s="27">
        <v>834.58605999999986</v>
      </c>
      <c r="G20" s="27">
        <v>1085.7821099999999</v>
      </c>
    </row>
    <row r="21" spans="3:8" hidden="1" x14ac:dyDescent="0.3">
      <c r="C21" s="17" t="s">
        <v>112</v>
      </c>
      <c r="D21" s="17">
        <v>3</v>
      </c>
      <c r="E21" s="27">
        <v>452.15289000000001</v>
      </c>
      <c r="F21" s="27">
        <v>606.97167999999999</v>
      </c>
      <c r="G21" s="27">
        <v>788.44800999999995</v>
      </c>
    </row>
    <row r="22" spans="3:8" hidden="1" x14ac:dyDescent="0.3">
      <c r="C22" s="17" t="s">
        <v>113</v>
      </c>
      <c r="D22" s="17">
        <v>2</v>
      </c>
      <c r="E22" s="27">
        <v>452.15289000000001</v>
      </c>
      <c r="F22" s="27">
        <v>595.69348999999988</v>
      </c>
      <c r="G22" s="27">
        <v>774.09394999999995</v>
      </c>
    </row>
    <row r="23" spans="3:8" hidden="1" x14ac:dyDescent="0.3">
      <c r="C23" s="17" t="s">
        <v>114</v>
      </c>
      <c r="D23" s="17">
        <v>1</v>
      </c>
      <c r="E23" s="27">
        <v>452.15289000000001</v>
      </c>
      <c r="F23" s="27">
        <v>576.21298000000002</v>
      </c>
      <c r="G23" s="27">
        <v>749.48698999999999</v>
      </c>
    </row>
    <row r="24" spans="3:8" hidden="1" x14ac:dyDescent="0.3"/>
    <row r="25" spans="3:8" ht="27.75" hidden="1" customHeight="1" x14ac:dyDescent="0.3">
      <c r="C25" s="90" t="s">
        <v>116</v>
      </c>
      <c r="D25" s="90"/>
      <c r="E25" s="90"/>
      <c r="F25" s="90"/>
      <c r="G25" s="90"/>
    </row>
    <row r="26" spans="3:8" ht="27.75" hidden="1" customHeight="1" x14ac:dyDescent="0.3">
      <c r="C26" s="30"/>
      <c r="D26" s="30"/>
      <c r="E26" s="30"/>
      <c r="F26" s="30"/>
      <c r="G26" s="30"/>
    </row>
    <row r="27" spans="3:8" ht="27.75" customHeight="1" x14ac:dyDescent="0.3">
      <c r="C27" s="69" t="s">
        <v>185</v>
      </c>
      <c r="D27" s="69"/>
      <c r="E27" s="69"/>
      <c r="F27" s="69"/>
      <c r="G27" s="69"/>
      <c r="H27" s="69"/>
    </row>
    <row r="29" spans="3:8" ht="36.6" customHeight="1" x14ac:dyDescent="0.3">
      <c r="C29" s="96" t="s">
        <v>164</v>
      </c>
      <c r="D29" s="94" t="s">
        <v>94</v>
      </c>
      <c r="E29" s="91" t="s">
        <v>163</v>
      </c>
      <c r="F29" s="92"/>
      <c r="G29" s="93"/>
    </row>
    <row r="30" spans="3:8" x14ac:dyDescent="0.3">
      <c r="C30" s="97"/>
      <c r="D30" s="95"/>
      <c r="E30" s="8" t="s">
        <v>96</v>
      </c>
      <c r="F30" s="8" t="s">
        <v>97</v>
      </c>
      <c r="G30" s="8" t="s">
        <v>98</v>
      </c>
    </row>
    <row r="31" spans="3:8" x14ac:dyDescent="0.3">
      <c r="C31" s="17" t="s">
        <v>99</v>
      </c>
      <c r="D31" s="17">
        <v>16</v>
      </c>
      <c r="E31" s="27">
        <v>3211.3334999999997</v>
      </c>
      <c r="F31" s="27">
        <v>4587.9215999999997</v>
      </c>
      <c r="G31" s="27">
        <v>4814.3549999999996</v>
      </c>
    </row>
    <row r="32" spans="3:8" x14ac:dyDescent="0.3">
      <c r="C32" s="17" t="s">
        <v>100</v>
      </c>
      <c r="D32" s="17">
        <v>15</v>
      </c>
      <c r="E32" s="27">
        <v>3000.7715999999996</v>
      </c>
      <c r="F32" s="27">
        <v>4285.3049999999994</v>
      </c>
      <c r="G32" s="27">
        <v>4606.9673999999995</v>
      </c>
    </row>
    <row r="33" spans="3:7" x14ac:dyDescent="0.3">
      <c r="C33" s="17" t="s">
        <v>101</v>
      </c>
      <c r="D33" s="17">
        <v>14</v>
      </c>
      <c r="E33" s="27">
        <v>2506.6388999999999</v>
      </c>
      <c r="F33" s="27">
        <v>3581.6684999999993</v>
      </c>
      <c r="G33" s="27">
        <v>4298.0021999999999</v>
      </c>
    </row>
    <row r="34" spans="3:7" x14ac:dyDescent="0.3">
      <c r="C34" s="17" t="s">
        <v>102</v>
      </c>
      <c r="D34" s="17">
        <v>13</v>
      </c>
      <c r="E34" s="27">
        <v>2022.0291</v>
      </c>
      <c r="F34" s="27">
        <v>2888.6129999999998</v>
      </c>
      <c r="G34" s="27">
        <v>3466.3355999999994</v>
      </c>
    </row>
    <row r="35" spans="3:7" x14ac:dyDescent="0.3">
      <c r="C35" s="17" t="s">
        <v>103</v>
      </c>
      <c r="D35" s="17">
        <v>12</v>
      </c>
      <c r="E35" s="27">
        <v>1624.1834999999999</v>
      </c>
      <c r="F35" s="27">
        <v>2321.4713999999999</v>
      </c>
      <c r="G35" s="27">
        <v>2902.3682999999996</v>
      </c>
    </row>
    <row r="36" spans="3:7" x14ac:dyDescent="0.3">
      <c r="C36" s="17" t="s">
        <v>104</v>
      </c>
      <c r="D36" s="17">
        <v>11</v>
      </c>
      <c r="E36" s="27">
        <v>1301.463</v>
      </c>
      <c r="F36" s="27">
        <v>1859.0816999999997</v>
      </c>
      <c r="G36" s="27">
        <v>2324.6457</v>
      </c>
    </row>
    <row r="37" spans="3:7" x14ac:dyDescent="0.3">
      <c r="C37" s="17" t="s">
        <v>105</v>
      </c>
      <c r="D37" s="17">
        <v>10</v>
      </c>
      <c r="E37" s="27">
        <v>1076.0876999999998</v>
      </c>
      <c r="F37" s="27">
        <v>1537.4193</v>
      </c>
      <c r="G37" s="27">
        <v>1922.5676999999998</v>
      </c>
    </row>
    <row r="38" spans="3:7" x14ac:dyDescent="0.3">
      <c r="C38" s="17" t="s">
        <v>106</v>
      </c>
      <c r="D38" s="17">
        <v>9</v>
      </c>
      <c r="E38" s="27">
        <v>899.38499999999988</v>
      </c>
      <c r="F38" s="27">
        <v>1285.5915</v>
      </c>
      <c r="G38" s="27">
        <v>1670.7398999999998</v>
      </c>
    </row>
    <row r="39" spans="3:7" x14ac:dyDescent="0.3">
      <c r="C39" s="17" t="s">
        <v>107</v>
      </c>
      <c r="D39" s="17">
        <v>8</v>
      </c>
      <c r="E39" s="27">
        <v>842.24759999999992</v>
      </c>
      <c r="F39" s="27">
        <v>1203.0597</v>
      </c>
      <c r="G39" s="27">
        <v>1564.9298999999999</v>
      </c>
    </row>
    <row r="40" spans="3:7" x14ac:dyDescent="0.3">
      <c r="C40" s="17" t="s">
        <v>108</v>
      </c>
      <c r="D40" s="17">
        <v>7</v>
      </c>
      <c r="E40" s="27">
        <v>704.69459999999992</v>
      </c>
      <c r="F40" s="27">
        <v>1005.1949999999998</v>
      </c>
      <c r="G40" s="27">
        <v>1307.8115999999998</v>
      </c>
    </row>
    <row r="41" spans="3:7" x14ac:dyDescent="0.3">
      <c r="C41" s="17" t="s">
        <v>109</v>
      </c>
      <c r="D41" s="17">
        <v>6</v>
      </c>
      <c r="E41" s="27">
        <v>659.19629999999995</v>
      </c>
      <c r="F41" s="27">
        <v>941.70899999999995</v>
      </c>
      <c r="G41" s="27">
        <v>1223.1635999999999</v>
      </c>
    </row>
    <row r="42" spans="3:7" x14ac:dyDescent="0.3">
      <c r="C42" s="17" t="s">
        <v>110</v>
      </c>
      <c r="D42" s="17">
        <v>5</v>
      </c>
      <c r="E42" s="27">
        <v>615.81419999999991</v>
      </c>
      <c r="F42" s="27">
        <v>880.33919999999989</v>
      </c>
      <c r="G42" s="27">
        <v>1142.748</v>
      </c>
    </row>
    <row r="43" spans="3:7" x14ac:dyDescent="0.3">
      <c r="C43" s="17" t="s">
        <v>111</v>
      </c>
      <c r="D43" s="17">
        <v>4</v>
      </c>
      <c r="E43" s="27">
        <v>603.11699999999985</v>
      </c>
      <c r="F43" s="27">
        <v>861.29339999999991</v>
      </c>
      <c r="G43" s="27">
        <v>1120.5278999999998</v>
      </c>
    </row>
    <row r="44" spans="3:7" x14ac:dyDescent="0.3">
      <c r="C44" s="17" t="s">
        <v>112</v>
      </c>
      <c r="D44" s="17">
        <v>3</v>
      </c>
      <c r="E44" s="27">
        <v>466.62209999999999</v>
      </c>
      <c r="F44" s="27">
        <v>626.39519999999993</v>
      </c>
      <c r="G44" s="27">
        <v>813.6789</v>
      </c>
    </row>
    <row r="45" spans="3:7" x14ac:dyDescent="0.3">
      <c r="C45" s="17" t="s">
        <v>113</v>
      </c>
      <c r="D45" s="17">
        <v>2</v>
      </c>
      <c r="E45" s="27">
        <v>466.62209999999999</v>
      </c>
      <c r="F45" s="27">
        <v>614.75609999999995</v>
      </c>
      <c r="G45" s="27">
        <v>798.86549999999988</v>
      </c>
    </row>
    <row r="46" spans="3:7" x14ac:dyDescent="0.3">
      <c r="C46" s="17" t="s">
        <v>114</v>
      </c>
      <c r="D46" s="17">
        <v>1</v>
      </c>
      <c r="E46" s="27">
        <v>466.62209999999999</v>
      </c>
      <c r="F46" s="27">
        <v>594.65219999999999</v>
      </c>
      <c r="G46" s="27">
        <v>773.47109999999986</v>
      </c>
    </row>
  </sheetData>
  <mergeCells count="8">
    <mergeCell ref="E6:G6"/>
    <mergeCell ref="D6:D7"/>
    <mergeCell ref="C3:H3"/>
    <mergeCell ref="C25:G25"/>
    <mergeCell ref="E29:G29"/>
    <mergeCell ref="C27:H27"/>
    <mergeCell ref="D29:D30"/>
    <mergeCell ref="C29:C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48B6C-99A4-4CD2-AE1D-E516558BC76C}">
  <dimension ref="C3:S26"/>
  <sheetViews>
    <sheetView workbookViewId="0">
      <selection activeCell="N13" sqref="N13"/>
    </sheetView>
  </sheetViews>
  <sheetFormatPr defaultRowHeight="14.4" x14ac:dyDescent="0.3"/>
  <cols>
    <col min="2" max="2" width="0" hidden="1" customWidth="1"/>
    <col min="3" max="3" width="13.6640625" hidden="1" customWidth="1"/>
    <col min="4" max="4" width="13.21875" hidden="1" customWidth="1"/>
    <col min="5" max="5" width="16" hidden="1" customWidth="1"/>
    <col min="6" max="6" width="18.6640625" hidden="1" customWidth="1"/>
    <col min="7" max="7" width="0" hidden="1" customWidth="1"/>
    <col min="8" max="8" width="11.6640625" customWidth="1"/>
    <col min="9" max="9" width="16.77734375" customWidth="1"/>
    <col min="10" max="10" width="14.33203125" customWidth="1"/>
    <col min="11" max="11" width="17.6640625" customWidth="1"/>
    <col min="15" max="20" width="0" hidden="1" customWidth="1"/>
  </cols>
  <sheetData>
    <row r="3" spans="3:19" ht="49.8" customHeight="1" x14ac:dyDescent="0.3">
      <c r="H3" s="98" t="s">
        <v>204</v>
      </c>
      <c r="I3" s="98"/>
      <c r="J3" s="98"/>
      <c r="K3" s="98"/>
    </row>
    <row r="4" spans="3:19" ht="15" thickBot="1" x14ac:dyDescent="0.35">
      <c r="J4" s="33" t="s">
        <v>176</v>
      </c>
    </row>
    <row r="5" spans="3:19" ht="69.599999999999994" thickBot="1" x14ac:dyDescent="0.35">
      <c r="C5" s="99" t="s">
        <v>94</v>
      </c>
      <c r="D5" s="102" t="s">
        <v>170</v>
      </c>
      <c r="E5" s="103"/>
      <c r="F5" s="104"/>
      <c r="G5" s="108"/>
      <c r="H5" s="109" t="s">
        <v>94</v>
      </c>
      <c r="I5" s="112" t="s">
        <v>170</v>
      </c>
      <c r="J5" s="113"/>
      <c r="K5" s="114"/>
      <c r="O5" s="47" t="s">
        <v>177</v>
      </c>
      <c r="P5" s="48" t="s">
        <v>178</v>
      </c>
      <c r="Q5" s="49" t="s">
        <v>179</v>
      </c>
      <c r="R5" s="49" t="s">
        <v>180</v>
      </c>
      <c r="S5" s="49" t="s">
        <v>181</v>
      </c>
    </row>
    <row r="6" spans="3:19" ht="17.399999999999999" thickBot="1" x14ac:dyDescent="0.35">
      <c r="C6" s="100"/>
      <c r="D6" s="105" t="s">
        <v>171</v>
      </c>
      <c r="E6" s="106"/>
      <c r="F6" s="107"/>
      <c r="G6" s="108"/>
      <c r="H6" s="110"/>
      <c r="I6" s="115" t="s">
        <v>184</v>
      </c>
      <c r="J6" s="116"/>
      <c r="K6" s="117"/>
      <c r="O6" s="50" t="s">
        <v>100</v>
      </c>
      <c r="P6" s="51" t="s">
        <v>99</v>
      </c>
      <c r="Q6" s="52">
        <v>543</v>
      </c>
      <c r="R6" s="52">
        <v>615</v>
      </c>
      <c r="S6" s="52">
        <v>799</v>
      </c>
    </row>
    <row r="7" spans="3:19" ht="17.399999999999999" thickBot="1" x14ac:dyDescent="0.35">
      <c r="C7" s="101"/>
      <c r="D7" s="45" t="s">
        <v>172</v>
      </c>
      <c r="E7" s="45" t="s">
        <v>97</v>
      </c>
      <c r="F7" s="45" t="s">
        <v>98</v>
      </c>
      <c r="G7" s="44"/>
      <c r="H7" s="111"/>
      <c r="I7" s="57" t="s">
        <v>174</v>
      </c>
      <c r="J7" s="57" t="s">
        <v>97</v>
      </c>
      <c r="K7" s="57" t="s">
        <v>98</v>
      </c>
      <c r="O7" s="53" t="s">
        <v>101</v>
      </c>
      <c r="P7" s="51" t="s">
        <v>100</v>
      </c>
      <c r="Q7" s="52">
        <v>543</v>
      </c>
      <c r="R7" s="52">
        <v>626</v>
      </c>
      <c r="S7" s="52">
        <v>814</v>
      </c>
    </row>
    <row r="8" spans="3:19" ht="17.399999999999999" thickBot="1" x14ac:dyDescent="0.35">
      <c r="C8" s="46" t="s">
        <v>99</v>
      </c>
      <c r="D8" s="45">
        <v>0.51300000000000001</v>
      </c>
      <c r="E8" s="45">
        <v>0.58099999999999996</v>
      </c>
      <c r="F8" s="45">
        <v>0.755</v>
      </c>
      <c r="G8" s="44"/>
      <c r="H8" s="58" t="s">
        <v>99</v>
      </c>
      <c r="I8" s="59">
        <f>0.513*1058.1</f>
        <v>542.80529999999999</v>
      </c>
      <c r="J8" s="59">
        <f>0.581*1058.1</f>
        <v>614.75609999999995</v>
      </c>
      <c r="K8" s="59">
        <f>0.755*1058.1</f>
        <v>798.86549999999988</v>
      </c>
      <c r="O8" s="53" t="s">
        <v>102</v>
      </c>
      <c r="P8" s="51" t="s">
        <v>101</v>
      </c>
      <c r="Q8" s="52">
        <v>603</v>
      </c>
      <c r="R8" s="52">
        <v>861</v>
      </c>
      <c r="S8" s="52">
        <v>1121</v>
      </c>
    </row>
    <row r="9" spans="3:19" ht="17.399999999999999" thickBot="1" x14ac:dyDescent="0.35">
      <c r="C9" s="46" t="s">
        <v>100</v>
      </c>
      <c r="D9" s="45">
        <v>0.51300000000000001</v>
      </c>
      <c r="E9" s="45">
        <v>0.59199999999999997</v>
      </c>
      <c r="F9" s="45">
        <v>0.76900000000000002</v>
      </c>
      <c r="G9" s="44"/>
      <c r="H9" s="58" t="s">
        <v>100</v>
      </c>
      <c r="I9" s="59">
        <f>0.513*1058.1</f>
        <v>542.80529999999999</v>
      </c>
      <c r="J9" s="59">
        <f>0.592*1058.1</f>
        <v>626.39519999999993</v>
      </c>
      <c r="K9" s="59">
        <f>0.769*1058.1</f>
        <v>813.6789</v>
      </c>
      <c r="O9" s="53" t="s">
        <v>103</v>
      </c>
      <c r="P9" s="51" t="s">
        <v>102</v>
      </c>
      <c r="Q9" s="52">
        <v>616</v>
      </c>
      <c r="R9" s="52">
        <v>880</v>
      </c>
      <c r="S9" s="52">
        <v>1143</v>
      </c>
    </row>
    <row r="10" spans="3:19" ht="17.399999999999999" thickBot="1" x14ac:dyDescent="0.35">
      <c r="C10" s="46" t="s">
        <v>101</v>
      </c>
      <c r="D10" s="45">
        <v>0.56999999999999995</v>
      </c>
      <c r="E10" s="45">
        <v>0.81399999999999995</v>
      </c>
      <c r="F10" s="45">
        <v>1.0589999999999999</v>
      </c>
      <c r="G10" s="44"/>
      <c r="H10" s="58" t="s">
        <v>101</v>
      </c>
      <c r="I10" s="59">
        <f>0.57*1058.1</f>
        <v>603.11699999999985</v>
      </c>
      <c r="J10" s="59">
        <f>0.814*1058.1</f>
        <v>861.29339999999991</v>
      </c>
      <c r="K10" s="59">
        <f>1.059*1058.1</f>
        <v>1120.5278999999998</v>
      </c>
      <c r="O10" s="53" t="s">
        <v>104</v>
      </c>
      <c r="P10" s="51" t="s">
        <v>103</v>
      </c>
      <c r="Q10" s="52">
        <v>659</v>
      </c>
      <c r="R10" s="52">
        <v>942</v>
      </c>
      <c r="S10" s="52">
        <v>1223</v>
      </c>
    </row>
    <row r="11" spans="3:19" ht="17.399999999999999" thickBot="1" x14ac:dyDescent="0.35">
      <c r="C11" s="46" t="s">
        <v>102</v>
      </c>
      <c r="D11" s="45">
        <v>0.58199999999999996</v>
      </c>
      <c r="E11" s="45">
        <v>0.83199999999999996</v>
      </c>
      <c r="F11" s="45">
        <v>1.08</v>
      </c>
      <c r="G11" s="44"/>
      <c r="H11" s="58" t="s">
        <v>102</v>
      </c>
      <c r="I11" s="59">
        <f>0.582*1058.1</f>
        <v>615.81419999999991</v>
      </c>
      <c r="J11" s="59">
        <f>0.832*1058.1</f>
        <v>880.33919999999989</v>
      </c>
      <c r="K11" s="59">
        <f>1.08*1058.1</f>
        <v>1142.748</v>
      </c>
      <c r="O11" s="53" t="s">
        <v>105</v>
      </c>
      <c r="P11" s="51" t="s">
        <v>104</v>
      </c>
      <c r="Q11" s="52">
        <v>705</v>
      </c>
      <c r="R11" s="52">
        <v>1005</v>
      </c>
      <c r="S11" s="52">
        <v>1308</v>
      </c>
    </row>
    <row r="12" spans="3:19" ht="17.399999999999999" thickBot="1" x14ac:dyDescent="0.35">
      <c r="C12" s="46" t="s">
        <v>103</v>
      </c>
      <c r="D12" s="45">
        <v>0.623</v>
      </c>
      <c r="E12" s="45">
        <v>0.89</v>
      </c>
      <c r="F12" s="45">
        <v>1.1559999999999999</v>
      </c>
      <c r="G12" s="44"/>
      <c r="H12" s="58" t="s">
        <v>103</v>
      </c>
      <c r="I12" s="59">
        <f>0.623*1058.1</f>
        <v>659.19629999999995</v>
      </c>
      <c r="J12" s="59">
        <f>0.89*1058.1</f>
        <v>941.70899999999995</v>
      </c>
      <c r="K12" s="59">
        <f>1.156*1058.1</f>
        <v>1223.1635999999999</v>
      </c>
      <c r="O12" s="53" t="s">
        <v>106</v>
      </c>
      <c r="P12" s="51" t="s">
        <v>105</v>
      </c>
      <c r="Q12" s="52">
        <v>842</v>
      </c>
      <c r="R12" s="52">
        <v>1203</v>
      </c>
      <c r="S12" s="52">
        <v>1565</v>
      </c>
    </row>
    <row r="13" spans="3:19" ht="17.399999999999999" thickBot="1" x14ac:dyDescent="0.35">
      <c r="C13" s="46" t="s">
        <v>104</v>
      </c>
      <c r="D13" s="45">
        <v>0.66600000000000004</v>
      </c>
      <c r="E13" s="45">
        <v>0.95</v>
      </c>
      <c r="F13" s="45">
        <v>1.236</v>
      </c>
      <c r="G13" s="44"/>
      <c r="H13" s="58" t="s">
        <v>104</v>
      </c>
      <c r="I13" s="59">
        <f>0.666*1058.1</f>
        <v>704.69459999999992</v>
      </c>
      <c r="J13" s="59">
        <f>0.95*1058.1</f>
        <v>1005.1949999999998</v>
      </c>
      <c r="K13" s="59">
        <f>1.236*1058.1</f>
        <v>1307.8115999999998</v>
      </c>
      <c r="O13" s="53" t="s">
        <v>107</v>
      </c>
      <c r="P13" s="51" t="s">
        <v>106</v>
      </c>
      <c r="Q13" s="52">
        <v>899</v>
      </c>
      <c r="R13" s="52">
        <v>1291</v>
      </c>
      <c r="S13" s="52">
        <v>1671</v>
      </c>
    </row>
    <row r="14" spans="3:19" ht="17.399999999999999" thickBot="1" x14ac:dyDescent="0.35">
      <c r="C14" s="46" t="s">
        <v>105</v>
      </c>
      <c r="D14" s="45">
        <v>0.79600000000000004</v>
      </c>
      <c r="E14" s="45">
        <v>1.137</v>
      </c>
      <c r="F14" s="45">
        <v>1.4790000000000001</v>
      </c>
      <c r="G14" s="44"/>
      <c r="H14" s="58" t="s">
        <v>105</v>
      </c>
      <c r="I14" s="59">
        <f>0.796*1058.1</f>
        <v>842.24759999999992</v>
      </c>
      <c r="J14" s="59">
        <f>1.137*1058.1</f>
        <v>1203.0597</v>
      </c>
      <c r="K14" s="59">
        <f>1.479*1058.1</f>
        <v>1564.9298999999999</v>
      </c>
      <c r="O14" s="53" t="s">
        <v>108</v>
      </c>
      <c r="P14" s="51" t="s">
        <v>107</v>
      </c>
      <c r="Q14" s="52">
        <v>1076</v>
      </c>
      <c r="R14" s="52">
        <v>1537</v>
      </c>
      <c r="S14" s="52">
        <v>1923</v>
      </c>
    </row>
    <row r="15" spans="3:19" ht="17.399999999999999" thickBot="1" x14ac:dyDescent="0.35">
      <c r="C15" s="46" t="s">
        <v>106</v>
      </c>
      <c r="D15" s="45">
        <v>0.85</v>
      </c>
      <c r="E15" s="45">
        <v>1.22</v>
      </c>
      <c r="F15" s="45">
        <v>1.579</v>
      </c>
      <c r="G15" s="44"/>
      <c r="H15" s="58" t="s">
        <v>106</v>
      </c>
      <c r="I15" s="59">
        <f>0.85*1058.1</f>
        <v>899.38499999999988</v>
      </c>
      <c r="J15" s="59">
        <f>1.22*1058.1</f>
        <v>1290.8819999999998</v>
      </c>
      <c r="K15" s="59">
        <f>1.579*1058.1</f>
        <v>1670.7398999999998</v>
      </c>
      <c r="O15" s="53" t="s">
        <v>109</v>
      </c>
      <c r="P15" s="51" t="s">
        <v>108</v>
      </c>
      <c r="Q15" s="52">
        <v>1301</v>
      </c>
      <c r="R15" s="52">
        <v>1859</v>
      </c>
      <c r="S15" s="52">
        <v>2325</v>
      </c>
    </row>
    <row r="16" spans="3:19" ht="17.399999999999999" thickBot="1" x14ac:dyDescent="0.35">
      <c r="C16" s="46" t="s">
        <v>107</v>
      </c>
      <c r="D16" s="45">
        <v>1.0169999999999999</v>
      </c>
      <c r="E16" s="45">
        <v>1.4530000000000001</v>
      </c>
      <c r="F16" s="45">
        <v>1.8169999999999999</v>
      </c>
      <c r="G16" s="44"/>
      <c r="H16" s="58" t="s">
        <v>107</v>
      </c>
      <c r="I16" s="59">
        <f>1.017*1058.1</f>
        <v>1076.0876999999998</v>
      </c>
      <c r="J16" s="59">
        <f>1.453*1058.1</f>
        <v>1537.4193</v>
      </c>
      <c r="K16" s="59">
        <f>1.817*1058.1</f>
        <v>1922.5676999999998</v>
      </c>
      <c r="O16" s="53" t="s">
        <v>110</v>
      </c>
      <c r="P16" s="51" t="s">
        <v>109</v>
      </c>
      <c r="Q16" s="52">
        <v>1624</v>
      </c>
      <c r="R16" s="52">
        <v>2321</v>
      </c>
      <c r="S16" s="52">
        <v>2902</v>
      </c>
    </row>
    <row r="17" spans="3:19" ht="17.399999999999999" thickBot="1" x14ac:dyDescent="0.35">
      <c r="C17" s="46" t="s">
        <v>108</v>
      </c>
      <c r="D17" s="45">
        <v>1.23</v>
      </c>
      <c r="E17" s="45">
        <v>1.7569999999999999</v>
      </c>
      <c r="F17" s="45">
        <v>2.1970000000000001</v>
      </c>
      <c r="G17" s="44"/>
      <c r="H17" s="58" t="s">
        <v>108</v>
      </c>
      <c r="I17" s="59">
        <f>1.23*1058.1</f>
        <v>1301.463</v>
      </c>
      <c r="J17" s="59">
        <f>1.757*1058.1</f>
        <v>1859.0816999999997</v>
      </c>
      <c r="K17" s="59">
        <f>2.197*1058.1</f>
        <v>2324.6457</v>
      </c>
      <c r="O17" s="53" t="s">
        <v>111</v>
      </c>
      <c r="P17" s="51" t="s">
        <v>110</v>
      </c>
      <c r="Q17" s="52">
        <v>2022</v>
      </c>
      <c r="R17" s="52">
        <v>2889</v>
      </c>
      <c r="S17" s="52">
        <v>3466</v>
      </c>
    </row>
    <row r="18" spans="3:19" ht="17.399999999999999" thickBot="1" x14ac:dyDescent="0.35">
      <c r="C18" s="46" t="s">
        <v>109</v>
      </c>
      <c r="D18" s="45">
        <v>1.5349999999999999</v>
      </c>
      <c r="E18" s="45">
        <v>2.194</v>
      </c>
      <c r="F18" s="45">
        <v>2.7429999999999999</v>
      </c>
      <c r="G18" s="44"/>
      <c r="H18" s="58" t="s">
        <v>109</v>
      </c>
      <c r="I18" s="59">
        <f>1.535*1058.1</f>
        <v>1624.1834999999999</v>
      </c>
      <c r="J18" s="59">
        <f>2.194*1058.1</f>
        <v>2321.4713999999999</v>
      </c>
      <c r="K18" s="59">
        <f>2.743*1058.1</f>
        <v>2902.3682999999996</v>
      </c>
      <c r="O18" s="53" t="s">
        <v>112</v>
      </c>
      <c r="P18" s="51" t="s">
        <v>111</v>
      </c>
      <c r="Q18" s="52">
        <v>2507</v>
      </c>
      <c r="R18" s="52">
        <v>3582</v>
      </c>
      <c r="S18" s="52">
        <v>4298</v>
      </c>
    </row>
    <row r="19" spans="3:19" ht="17.399999999999999" thickBot="1" x14ac:dyDescent="0.35">
      <c r="C19" s="46" t="s">
        <v>110</v>
      </c>
      <c r="D19" s="45">
        <v>1.911</v>
      </c>
      <c r="E19" s="45">
        <v>2.73</v>
      </c>
      <c r="F19" s="45">
        <v>3.2759999999999998</v>
      </c>
      <c r="G19" s="44"/>
      <c r="H19" s="58" t="s">
        <v>110</v>
      </c>
      <c r="I19" s="59">
        <f>1.911*1058.1</f>
        <v>2022.0291</v>
      </c>
      <c r="J19" s="59">
        <f>2.73*1058.1</f>
        <v>2888.6129999999998</v>
      </c>
      <c r="K19" s="59">
        <f>3.276*1058.1</f>
        <v>3466.3355999999994</v>
      </c>
      <c r="O19" s="53" t="s">
        <v>113</v>
      </c>
      <c r="P19" s="51" t="s">
        <v>112</v>
      </c>
      <c r="Q19" s="52">
        <v>3001</v>
      </c>
      <c r="R19" s="52">
        <v>4285</v>
      </c>
      <c r="S19" s="52">
        <v>5142</v>
      </c>
    </row>
    <row r="20" spans="3:19" ht="17.399999999999999" thickBot="1" x14ac:dyDescent="0.35">
      <c r="C20" s="46" t="s">
        <v>111</v>
      </c>
      <c r="D20" s="45">
        <v>2.3690000000000002</v>
      </c>
      <c r="E20" s="45">
        <v>3.3849999999999998</v>
      </c>
      <c r="F20" s="45">
        <v>4.0620000000000003</v>
      </c>
      <c r="G20" s="44"/>
      <c r="H20" s="58" t="s">
        <v>111</v>
      </c>
      <c r="I20" s="59">
        <f>2.369*1058.1</f>
        <v>2506.6388999999999</v>
      </c>
      <c r="J20" s="59">
        <f>3.385*1058.1</f>
        <v>3581.6684999999993</v>
      </c>
      <c r="K20" s="59">
        <f>4.062*1058.1</f>
        <v>4298.0021999999999</v>
      </c>
      <c r="O20" s="53" t="s">
        <v>114</v>
      </c>
      <c r="P20" s="51" t="s">
        <v>113</v>
      </c>
      <c r="Q20" s="52">
        <v>3380</v>
      </c>
      <c r="R20" s="52">
        <v>4827</v>
      </c>
      <c r="S20" s="52">
        <v>5793</v>
      </c>
    </row>
    <row r="21" spans="3:19" ht="17.399999999999999" thickBot="1" x14ac:dyDescent="0.35">
      <c r="C21" s="46" t="s">
        <v>112</v>
      </c>
      <c r="D21" s="45">
        <v>2.8359999999999999</v>
      </c>
      <c r="E21" s="45">
        <v>4.05</v>
      </c>
      <c r="F21" s="45">
        <v>4.8600000000000003</v>
      </c>
      <c r="G21" s="44"/>
      <c r="H21" s="58" t="s">
        <v>112</v>
      </c>
      <c r="I21" s="59">
        <f>2.836*1058.1</f>
        <v>3000.7715999999996</v>
      </c>
      <c r="J21" s="59">
        <f>4.05*1058.1</f>
        <v>4285.3049999999994</v>
      </c>
      <c r="K21" s="59">
        <f>4.86*1058.1</f>
        <v>5142.366</v>
      </c>
      <c r="O21" s="50" t="s">
        <v>182</v>
      </c>
      <c r="P21" s="51" t="s">
        <v>114</v>
      </c>
      <c r="Q21" s="52">
        <v>3550</v>
      </c>
      <c r="R21" s="52">
        <v>5071</v>
      </c>
      <c r="S21" s="52">
        <v>6085</v>
      </c>
    </row>
    <row r="22" spans="3:19" ht="17.399999999999999" thickBot="1" x14ac:dyDescent="0.35">
      <c r="C22" s="46" t="s">
        <v>113</v>
      </c>
      <c r="D22" s="45">
        <v>3.194</v>
      </c>
      <c r="E22" s="45">
        <v>4.5620000000000003</v>
      </c>
      <c r="F22" s="45">
        <v>5.4749999999999996</v>
      </c>
      <c r="G22" s="44"/>
      <c r="H22" s="58" t="s">
        <v>113</v>
      </c>
      <c r="I22" s="59">
        <f>3.194*1058.1</f>
        <v>3379.5713999999998</v>
      </c>
      <c r="J22" s="59">
        <f>4.562*1058.1</f>
        <v>4827.0522000000001</v>
      </c>
      <c r="K22" s="59">
        <f>5.475*1058.1</f>
        <v>5793.0974999999989</v>
      </c>
      <c r="O22" s="50" t="s">
        <v>183</v>
      </c>
      <c r="P22" s="51" t="s">
        <v>173</v>
      </c>
      <c r="Q22" s="52">
        <v>3898</v>
      </c>
      <c r="R22" s="52">
        <v>5569</v>
      </c>
      <c r="S22" s="52">
        <v>6403</v>
      </c>
    </row>
    <row r="23" spans="3:19" ht="17.399999999999999" thickBot="1" x14ac:dyDescent="0.35">
      <c r="C23" s="46" t="s">
        <v>114</v>
      </c>
      <c r="D23" s="45">
        <v>3.355</v>
      </c>
      <c r="E23" s="45">
        <v>4.7930000000000001</v>
      </c>
      <c r="F23" s="45">
        <v>5.7510000000000003</v>
      </c>
      <c r="G23" s="44"/>
      <c r="H23" s="58" t="s">
        <v>114</v>
      </c>
      <c r="I23" s="59">
        <f>3.355*1058.1</f>
        <v>3549.9254999999998</v>
      </c>
      <c r="J23" s="59">
        <f>4.793*1058.1</f>
        <v>5071.4732999999997</v>
      </c>
      <c r="K23" s="59">
        <f>5.751*1058.1</f>
        <v>6085.1331</v>
      </c>
    </row>
    <row r="24" spans="3:19" ht="17.399999999999999" thickBot="1" x14ac:dyDescent="0.35">
      <c r="C24" s="46" t="s">
        <v>173</v>
      </c>
      <c r="D24" s="45">
        <v>3.6840000000000002</v>
      </c>
      <c r="E24" s="45">
        <v>5.2629999999999999</v>
      </c>
      <c r="F24" s="45">
        <v>6.0510000000000002</v>
      </c>
      <c r="G24" s="44"/>
      <c r="H24" s="58" t="s">
        <v>173</v>
      </c>
      <c r="I24" s="59">
        <f>3.684*1058.1</f>
        <v>3898.0403999999999</v>
      </c>
      <c r="J24" s="59">
        <f>5.263*1058.1</f>
        <v>5568.7802999999994</v>
      </c>
      <c r="K24" s="59">
        <f>6.051*1058.1</f>
        <v>6402.5630999999994</v>
      </c>
    </row>
    <row r="26" spans="3:19" x14ac:dyDescent="0.3">
      <c r="H26" s="54" t="s">
        <v>175</v>
      </c>
    </row>
  </sheetData>
  <mergeCells count="8">
    <mergeCell ref="H3:K3"/>
    <mergeCell ref="C5:C7"/>
    <mergeCell ref="D5:F5"/>
    <mergeCell ref="D6:F6"/>
    <mergeCell ref="G5:G6"/>
    <mergeCell ref="H5:H7"/>
    <mergeCell ref="I5:K5"/>
    <mergeCell ref="I6:K6"/>
  </mergeCell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2471A-A2D2-4533-B574-9307E046265B}">
  <dimension ref="B4:H22"/>
  <sheetViews>
    <sheetView workbookViewId="0">
      <selection activeCell="G12" sqref="G12"/>
    </sheetView>
  </sheetViews>
  <sheetFormatPr defaultRowHeight="14.4" x14ac:dyDescent="0.3"/>
  <cols>
    <col min="3" max="3" width="34.44140625" style="1" customWidth="1"/>
    <col min="4" max="4" width="0" hidden="1" customWidth="1"/>
    <col min="6" max="6" width="13.5546875" hidden="1" customWidth="1"/>
    <col min="8" max="8" width="15.6640625" customWidth="1"/>
  </cols>
  <sheetData>
    <row r="4" spans="2:8" s="1" customFormat="1" ht="21.6" x14ac:dyDescent="0.3">
      <c r="B4" s="4"/>
      <c r="C4" s="4" t="s">
        <v>0</v>
      </c>
      <c r="D4" s="4">
        <v>2018</v>
      </c>
      <c r="E4" s="4">
        <v>2019</v>
      </c>
      <c r="F4" s="34" t="s">
        <v>129</v>
      </c>
      <c r="G4" s="4">
        <v>2020</v>
      </c>
      <c r="H4" s="34" t="s">
        <v>130</v>
      </c>
    </row>
    <row r="5" spans="2:8" x14ac:dyDescent="0.3">
      <c r="B5" s="8" t="s">
        <v>128</v>
      </c>
      <c r="C5" s="4" t="s">
        <v>127</v>
      </c>
      <c r="D5" s="8">
        <v>1991</v>
      </c>
      <c r="E5" s="8">
        <v>2083</v>
      </c>
      <c r="F5" s="8">
        <v>4.5999999999999996</v>
      </c>
      <c r="G5" s="8">
        <v>2161</v>
      </c>
      <c r="H5" s="8">
        <v>3.8</v>
      </c>
    </row>
    <row r="6" spans="2:8" ht="28.8" x14ac:dyDescent="0.3">
      <c r="B6" s="118" t="s">
        <v>135</v>
      </c>
      <c r="C6" s="4" t="s">
        <v>131</v>
      </c>
      <c r="D6" s="8">
        <v>1592</v>
      </c>
      <c r="E6" s="8">
        <v>1731</v>
      </c>
      <c r="F6" s="8">
        <v>8.6999999999999993</v>
      </c>
      <c r="G6" s="8">
        <v>1866</v>
      </c>
      <c r="H6" s="8">
        <v>7.8</v>
      </c>
    </row>
    <row r="7" spans="2:8" ht="28.8" x14ac:dyDescent="0.3">
      <c r="B7" s="118"/>
      <c r="C7" s="4" t="s">
        <v>132</v>
      </c>
      <c r="D7" s="8">
        <v>1276</v>
      </c>
      <c r="E7" s="8">
        <v>1366</v>
      </c>
      <c r="F7" s="8">
        <v>7.1</v>
      </c>
      <c r="G7" s="8">
        <v>1413</v>
      </c>
      <c r="H7" s="8">
        <v>3.4</v>
      </c>
    </row>
    <row r="8" spans="2:8" x14ac:dyDescent="0.3">
      <c r="B8" s="8" t="s">
        <v>136</v>
      </c>
      <c r="C8" s="4" t="s">
        <v>133</v>
      </c>
      <c r="D8" s="8">
        <v>1000</v>
      </c>
      <c r="E8" s="8">
        <v>1071</v>
      </c>
      <c r="F8" s="8">
        <v>7.1</v>
      </c>
      <c r="G8" s="8">
        <v>1068</v>
      </c>
      <c r="H8" s="43">
        <v>-0.3</v>
      </c>
    </row>
    <row r="9" spans="2:8" x14ac:dyDescent="0.3">
      <c r="B9" s="8" t="s">
        <v>137</v>
      </c>
      <c r="C9" s="4" t="s">
        <v>134</v>
      </c>
      <c r="D9" s="8">
        <v>1004</v>
      </c>
      <c r="E9" s="8">
        <v>1076</v>
      </c>
      <c r="F9" s="8">
        <v>7.2</v>
      </c>
      <c r="G9" s="8">
        <v>1143</v>
      </c>
      <c r="H9" s="8">
        <v>6.2</v>
      </c>
    </row>
    <row r="13" spans="2:8" x14ac:dyDescent="0.3">
      <c r="C13" s="1" t="s">
        <v>138</v>
      </c>
    </row>
    <row r="14" spans="2:8" ht="43.2" x14ac:dyDescent="0.3">
      <c r="C14" s="35" t="s">
        <v>139</v>
      </c>
    </row>
    <row r="18" spans="3:7" x14ac:dyDescent="0.3">
      <c r="C18" s="1" t="s">
        <v>140</v>
      </c>
      <c r="G18">
        <v>0.2</v>
      </c>
    </row>
    <row r="20" spans="3:7" x14ac:dyDescent="0.3">
      <c r="C20" s="1" t="s">
        <v>141</v>
      </c>
    </row>
    <row r="21" spans="3:7" ht="28.8" hidden="1" x14ac:dyDescent="0.3">
      <c r="C21" s="35" t="s">
        <v>142</v>
      </c>
    </row>
    <row r="22" spans="3:7" ht="43.2" x14ac:dyDescent="0.3">
      <c r="C22" s="35" t="s">
        <v>143</v>
      </c>
    </row>
  </sheetData>
  <mergeCells count="1">
    <mergeCell ref="B6:B7"/>
  </mergeCells>
  <hyperlinks>
    <hyperlink ref="C14" r:id="rId1" xr:uid="{07135CF3-B0E2-4F44-9ABA-D8A04C0AB74C}"/>
    <hyperlink ref="C21" r:id="rId2" xr:uid="{1DB87B1E-CFE5-4028-B7EC-2CCD4BA8E5EB}"/>
    <hyperlink ref="C22" r:id="rId3" xr:uid="{7595AE18-489F-43A1-8729-368CD4C1D287}"/>
  </hyperlinks>
  <pageMargins left="0.7" right="0.7" top="0.75" bottom="0.75" header="0.3" footer="0.3"/>
  <pageSetup paperSize="9" orientation="portrait" verticalDpi="0"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D688-61A2-444A-83A1-6D5057AA4463}">
  <dimension ref="B2:M21"/>
  <sheetViews>
    <sheetView workbookViewId="0">
      <selection activeCell="H15" sqref="H15"/>
    </sheetView>
  </sheetViews>
  <sheetFormatPr defaultRowHeight="14.4" x14ac:dyDescent="0.3"/>
  <sheetData>
    <row r="2" spans="2:13" x14ac:dyDescent="0.3">
      <c r="L2">
        <v>1058.0999999999999</v>
      </c>
    </row>
    <row r="3" spans="2:13" ht="15" thickBot="1" x14ac:dyDescent="0.35"/>
    <row r="4" spans="2:13" ht="20.399999999999999" customHeight="1" thickBot="1" x14ac:dyDescent="0.35">
      <c r="B4" s="39" t="s">
        <v>92</v>
      </c>
      <c r="C4" s="119" t="s">
        <v>94</v>
      </c>
      <c r="D4" s="121" t="s">
        <v>95</v>
      </c>
      <c r="E4" s="122"/>
      <c r="F4" s="123"/>
      <c r="I4" s="39" t="s">
        <v>92</v>
      </c>
      <c r="J4" s="119" t="s">
        <v>94</v>
      </c>
      <c r="K4" s="121" t="s">
        <v>95</v>
      </c>
      <c r="L4" s="122"/>
      <c r="M4" s="123"/>
    </row>
    <row r="5" spans="2:13" ht="15" thickBot="1" x14ac:dyDescent="0.35">
      <c r="B5" s="40" t="s">
        <v>93</v>
      </c>
      <c r="C5" s="120"/>
      <c r="D5" s="41" t="s">
        <v>96</v>
      </c>
      <c r="E5" s="41" t="s">
        <v>97</v>
      </c>
      <c r="F5" s="41" t="s">
        <v>98</v>
      </c>
      <c r="I5" s="40" t="s">
        <v>93</v>
      </c>
      <c r="J5" s="120"/>
      <c r="K5" s="41" t="s">
        <v>96</v>
      </c>
      <c r="L5" s="41" t="s">
        <v>97</v>
      </c>
      <c r="M5" s="41" t="s">
        <v>98</v>
      </c>
    </row>
    <row r="6" spans="2:13" ht="15" thickBot="1" x14ac:dyDescent="0.35">
      <c r="B6" s="41" t="s">
        <v>99</v>
      </c>
      <c r="C6" s="41">
        <v>16</v>
      </c>
      <c r="D6" s="41">
        <v>3.0350000000000001</v>
      </c>
      <c r="E6" s="41">
        <v>4.3360000000000003</v>
      </c>
      <c r="F6" s="41">
        <v>4.55</v>
      </c>
      <c r="I6" s="41" t="s">
        <v>99</v>
      </c>
      <c r="J6" s="41">
        <v>16</v>
      </c>
      <c r="K6" s="42">
        <f>D6*L2</f>
        <v>3211.3334999999997</v>
      </c>
      <c r="L6" s="42">
        <f>E6*L2</f>
        <v>4587.9215999999997</v>
      </c>
      <c r="M6" s="42">
        <f>F6*L2</f>
        <v>4814.3549999999996</v>
      </c>
    </row>
    <row r="7" spans="2:13" ht="15" thickBot="1" x14ac:dyDescent="0.35">
      <c r="B7" s="41" t="s">
        <v>100</v>
      </c>
      <c r="C7" s="41">
        <v>15</v>
      </c>
      <c r="D7" s="41">
        <v>2.8359999999999999</v>
      </c>
      <c r="E7" s="41">
        <v>4.05</v>
      </c>
      <c r="F7" s="41">
        <v>4.3540000000000001</v>
      </c>
      <c r="I7" s="41" t="s">
        <v>100</v>
      </c>
      <c r="J7" s="41">
        <v>15</v>
      </c>
      <c r="K7" s="42">
        <f>D7*L2</f>
        <v>3000.7715999999996</v>
      </c>
      <c r="L7" s="42">
        <f>E7*L2</f>
        <v>4285.3049999999994</v>
      </c>
      <c r="M7" s="42">
        <f>F7*L2</f>
        <v>4606.9673999999995</v>
      </c>
    </row>
    <row r="8" spans="2:13" ht="15" thickBot="1" x14ac:dyDescent="0.35">
      <c r="B8" s="41" t="s">
        <v>101</v>
      </c>
      <c r="C8" s="41">
        <v>14</v>
      </c>
      <c r="D8" s="41">
        <v>2.3690000000000002</v>
      </c>
      <c r="E8" s="41">
        <v>3.3849999999999998</v>
      </c>
      <c r="F8" s="41">
        <v>4.0620000000000003</v>
      </c>
      <c r="I8" s="41" t="s">
        <v>101</v>
      </c>
      <c r="J8" s="41">
        <v>14</v>
      </c>
      <c r="K8" s="42">
        <f>D8*L2</f>
        <v>2506.6388999999999</v>
      </c>
      <c r="L8" s="42">
        <f>E8*L2</f>
        <v>3581.6684999999993</v>
      </c>
      <c r="M8" s="42">
        <f>F8*L2</f>
        <v>4298.0021999999999</v>
      </c>
    </row>
    <row r="9" spans="2:13" ht="15" thickBot="1" x14ac:dyDescent="0.35">
      <c r="B9" s="41" t="s">
        <v>102</v>
      </c>
      <c r="C9" s="41">
        <v>13</v>
      </c>
      <c r="D9" s="41">
        <v>1.911</v>
      </c>
      <c r="E9" s="41">
        <v>2.73</v>
      </c>
      <c r="F9" s="41">
        <v>3.2759999999999998</v>
      </c>
      <c r="I9" s="41" t="s">
        <v>102</v>
      </c>
      <c r="J9" s="41">
        <v>13</v>
      </c>
      <c r="K9" s="42">
        <f>D9*L2</f>
        <v>2022.0291</v>
      </c>
      <c r="L9" s="42">
        <f>E9*L2</f>
        <v>2888.6129999999998</v>
      </c>
      <c r="M9" s="42">
        <f>F9*L2</f>
        <v>3466.3355999999994</v>
      </c>
    </row>
    <row r="10" spans="2:13" ht="15" thickBot="1" x14ac:dyDescent="0.35">
      <c r="B10" s="41" t="s">
        <v>103</v>
      </c>
      <c r="C10" s="41">
        <v>12</v>
      </c>
      <c r="D10" s="41">
        <v>1.5349999999999999</v>
      </c>
      <c r="E10" s="41">
        <v>2.194</v>
      </c>
      <c r="F10" s="41">
        <v>2.7429999999999999</v>
      </c>
      <c r="I10" s="41" t="s">
        <v>103</v>
      </c>
      <c r="J10" s="41">
        <v>12</v>
      </c>
      <c r="K10" s="42">
        <f>D10*L2</f>
        <v>1624.1834999999999</v>
      </c>
      <c r="L10" s="42">
        <f>E10*L2</f>
        <v>2321.4713999999999</v>
      </c>
      <c r="M10" s="42">
        <f>F10*L2</f>
        <v>2902.3682999999996</v>
      </c>
    </row>
    <row r="11" spans="2:13" ht="15" thickBot="1" x14ac:dyDescent="0.35">
      <c r="B11" s="41" t="s">
        <v>104</v>
      </c>
      <c r="C11" s="41">
        <v>11</v>
      </c>
      <c r="D11" s="41">
        <v>1.23</v>
      </c>
      <c r="E11" s="41">
        <v>1.7569999999999999</v>
      </c>
      <c r="F11" s="41">
        <v>2.1970000000000001</v>
      </c>
      <c r="I11" s="41" t="s">
        <v>104</v>
      </c>
      <c r="J11" s="41">
        <v>11</v>
      </c>
      <c r="K11" s="42">
        <f>D11*L2</f>
        <v>1301.463</v>
      </c>
      <c r="L11" s="42">
        <f>E11*L2</f>
        <v>1859.0816999999997</v>
      </c>
      <c r="M11" s="42">
        <f>F11*L2</f>
        <v>2324.6457</v>
      </c>
    </row>
    <row r="12" spans="2:13" ht="15" thickBot="1" x14ac:dyDescent="0.35">
      <c r="B12" s="41" t="s">
        <v>105</v>
      </c>
      <c r="C12" s="41">
        <v>10</v>
      </c>
      <c r="D12" s="41">
        <v>1.0169999999999999</v>
      </c>
      <c r="E12" s="41">
        <v>1.4530000000000001</v>
      </c>
      <c r="F12" s="41">
        <v>1.8169999999999999</v>
      </c>
      <c r="I12" s="41" t="s">
        <v>105</v>
      </c>
      <c r="J12" s="41">
        <v>10</v>
      </c>
      <c r="K12" s="42">
        <f>D12*L2</f>
        <v>1076.0876999999998</v>
      </c>
      <c r="L12" s="42">
        <f>E12*L2</f>
        <v>1537.4193</v>
      </c>
      <c r="M12" s="42">
        <f>F12*L2</f>
        <v>1922.5676999999998</v>
      </c>
    </row>
    <row r="13" spans="2:13" ht="15" thickBot="1" x14ac:dyDescent="0.35">
      <c r="B13" s="41" t="s">
        <v>106</v>
      </c>
      <c r="C13" s="41">
        <v>9</v>
      </c>
      <c r="D13" s="41">
        <v>0.85</v>
      </c>
      <c r="E13" s="41">
        <v>1.2150000000000001</v>
      </c>
      <c r="F13" s="41">
        <v>1.579</v>
      </c>
      <c r="I13" s="41" t="s">
        <v>106</v>
      </c>
      <c r="J13" s="41">
        <v>9</v>
      </c>
      <c r="K13" s="42">
        <f>D13*L2</f>
        <v>899.38499999999988</v>
      </c>
      <c r="L13" s="42">
        <f>E13*L2</f>
        <v>1285.5915</v>
      </c>
      <c r="M13" s="42">
        <f>F13*L2</f>
        <v>1670.7398999999998</v>
      </c>
    </row>
    <row r="14" spans="2:13" ht="15" thickBot="1" x14ac:dyDescent="0.35">
      <c r="B14" s="41" t="s">
        <v>107</v>
      </c>
      <c r="C14" s="41">
        <v>8</v>
      </c>
      <c r="D14" s="41">
        <v>0.79600000000000004</v>
      </c>
      <c r="E14" s="41">
        <v>1.137</v>
      </c>
      <c r="F14" s="41">
        <v>1.4790000000000001</v>
      </c>
      <c r="I14" s="41" t="s">
        <v>107</v>
      </c>
      <c r="J14" s="41">
        <v>8</v>
      </c>
      <c r="K14" s="42">
        <f>D14*L2</f>
        <v>842.24759999999992</v>
      </c>
      <c r="L14" s="42">
        <f>E14*L2</f>
        <v>1203.0597</v>
      </c>
      <c r="M14" s="42">
        <f>F14*L2</f>
        <v>1564.9298999999999</v>
      </c>
    </row>
    <row r="15" spans="2:13" ht="15" thickBot="1" x14ac:dyDescent="0.35">
      <c r="B15" s="41" t="s">
        <v>108</v>
      </c>
      <c r="C15" s="41">
        <v>7</v>
      </c>
      <c r="D15" s="41">
        <v>0.66600000000000004</v>
      </c>
      <c r="E15" s="41">
        <v>0.95</v>
      </c>
      <c r="F15" s="41">
        <v>1.236</v>
      </c>
      <c r="I15" s="41" t="s">
        <v>108</v>
      </c>
      <c r="J15" s="41">
        <v>7</v>
      </c>
      <c r="K15" s="42">
        <f>D15*L2</f>
        <v>704.69459999999992</v>
      </c>
      <c r="L15" s="42">
        <f>E15*L2</f>
        <v>1005.1949999999998</v>
      </c>
      <c r="M15" s="42">
        <f>F15*L2</f>
        <v>1307.8115999999998</v>
      </c>
    </row>
    <row r="16" spans="2:13" ht="15" thickBot="1" x14ac:dyDescent="0.35">
      <c r="B16" s="41" t="s">
        <v>109</v>
      </c>
      <c r="C16" s="41">
        <v>6</v>
      </c>
      <c r="D16" s="41">
        <v>0.623</v>
      </c>
      <c r="E16" s="41">
        <v>0.89</v>
      </c>
      <c r="F16" s="41">
        <v>1.1559999999999999</v>
      </c>
      <c r="I16" s="41" t="s">
        <v>109</v>
      </c>
      <c r="J16" s="41">
        <v>6</v>
      </c>
      <c r="K16" s="42">
        <f>D16*L2</f>
        <v>659.19629999999995</v>
      </c>
      <c r="L16" s="42">
        <f>E16*L2</f>
        <v>941.70899999999995</v>
      </c>
      <c r="M16" s="42">
        <f>F16*L2</f>
        <v>1223.1635999999999</v>
      </c>
    </row>
    <row r="17" spans="2:13" ht="15" thickBot="1" x14ac:dyDescent="0.35">
      <c r="B17" s="41" t="s">
        <v>110</v>
      </c>
      <c r="C17" s="41">
        <v>5</v>
      </c>
      <c r="D17" s="41">
        <v>0.58199999999999996</v>
      </c>
      <c r="E17" s="41">
        <v>0.83199999999999996</v>
      </c>
      <c r="F17" s="41">
        <v>1.08</v>
      </c>
      <c r="I17" s="41" t="s">
        <v>110</v>
      </c>
      <c r="J17" s="41">
        <v>5</v>
      </c>
      <c r="K17" s="42">
        <f>D17*L2</f>
        <v>615.81419999999991</v>
      </c>
      <c r="L17" s="42">
        <f>E17*L2</f>
        <v>880.33919999999989</v>
      </c>
      <c r="M17" s="42">
        <f>F17*L2</f>
        <v>1142.748</v>
      </c>
    </row>
    <row r="18" spans="2:13" ht="15" thickBot="1" x14ac:dyDescent="0.35">
      <c r="B18" s="41" t="s">
        <v>111</v>
      </c>
      <c r="C18" s="41">
        <v>4</v>
      </c>
      <c r="D18" s="41">
        <v>0.56999999999999995</v>
      </c>
      <c r="E18" s="41">
        <v>0.81399999999999995</v>
      </c>
      <c r="F18" s="41">
        <v>1.0589999999999999</v>
      </c>
      <c r="I18" s="41" t="s">
        <v>111</v>
      </c>
      <c r="J18" s="41">
        <v>4</v>
      </c>
      <c r="K18" s="42">
        <f>D18*L2</f>
        <v>603.11699999999985</v>
      </c>
      <c r="L18" s="42">
        <f>E18*L2</f>
        <v>861.29339999999991</v>
      </c>
      <c r="M18" s="42">
        <f>F18*L2</f>
        <v>1120.5278999999998</v>
      </c>
    </row>
    <row r="19" spans="2:13" ht="15" thickBot="1" x14ac:dyDescent="0.35">
      <c r="B19" s="41" t="s">
        <v>112</v>
      </c>
      <c r="C19" s="41">
        <v>3</v>
      </c>
      <c r="D19" s="41">
        <v>0.441</v>
      </c>
      <c r="E19" s="41">
        <v>0.59199999999999997</v>
      </c>
      <c r="F19" s="41">
        <v>0.76900000000000002</v>
      </c>
      <c r="I19" s="41" t="s">
        <v>112</v>
      </c>
      <c r="J19" s="41">
        <v>3</v>
      </c>
      <c r="K19" s="42">
        <f>D19*L2</f>
        <v>466.62209999999999</v>
      </c>
      <c r="L19" s="42">
        <f>E19*L2</f>
        <v>626.39519999999993</v>
      </c>
      <c r="M19" s="42">
        <f>F19*L2</f>
        <v>813.6789</v>
      </c>
    </row>
    <row r="20" spans="2:13" ht="15" thickBot="1" x14ac:dyDescent="0.35">
      <c r="B20" s="41" t="s">
        <v>113</v>
      </c>
      <c r="C20" s="41">
        <v>2</v>
      </c>
      <c r="D20" s="41">
        <v>0.441</v>
      </c>
      <c r="E20" s="41">
        <v>0.58099999999999996</v>
      </c>
      <c r="F20" s="41">
        <v>0.755</v>
      </c>
      <c r="I20" s="41" t="s">
        <v>113</v>
      </c>
      <c r="J20" s="41">
        <v>2</v>
      </c>
      <c r="K20" s="42">
        <f>D20*L2</f>
        <v>466.62209999999999</v>
      </c>
      <c r="L20" s="42">
        <f>E20*L2</f>
        <v>614.75609999999995</v>
      </c>
      <c r="M20" s="42">
        <f>F20*L2</f>
        <v>798.86549999999988</v>
      </c>
    </row>
    <row r="21" spans="2:13" ht="15" thickBot="1" x14ac:dyDescent="0.35">
      <c r="B21" s="41" t="s">
        <v>114</v>
      </c>
      <c r="C21" s="41">
        <v>1</v>
      </c>
      <c r="D21" s="41">
        <v>0.441</v>
      </c>
      <c r="E21" s="41">
        <v>0.56200000000000006</v>
      </c>
      <c r="F21" s="41">
        <v>0.73099999999999998</v>
      </c>
      <c r="I21" s="41" t="s">
        <v>114</v>
      </c>
      <c r="J21" s="41">
        <v>1</v>
      </c>
      <c r="K21" s="42">
        <f>D21*L2</f>
        <v>466.62209999999999</v>
      </c>
      <c r="L21" s="42">
        <f>E21*L2</f>
        <v>594.65219999999999</v>
      </c>
      <c r="M21" s="42">
        <f>F21*L2</f>
        <v>773.47109999999986</v>
      </c>
    </row>
  </sheetData>
  <mergeCells count="4">
    <mergeCell ref="C4:C5"/>
    <mergeCell ref="D4:F4"/>
    <mergeCell ref="J4:J5"/>
    <mergeCell ref="K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kopējais</vt:lpstr>
      <vt:lpstr>kopējais 2022</vt:lpstr>
      <vt:lpstr>pa amatiem</vt:lpstr>
      <vt:lpstr>pa amatiem 2022</vt:lpstr>
      <vt:lpstr>Sheet1</vt:lpstr>
      <vt:lpstr>KNAB 2022</vt:lpstr>
      <vt:lpstr>skala no 01.jul2022</vt:lpstr>
      <vt:lpstr>statistikas dati pa sektoriem </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Laila Ruškule</dc:creator>
  <cp:lastModifiedBy>Laila Ruskule</cp:lastModifiedBy>
  <cp:lastPrinted>2021-01-04T11:39:44Z</cp:lastPrinted>
  <dcterms:created xsi:type="dcterms:W3CDTF">2019-03-27T09:42:11Z</dcterms:created>
  <dcterms:modified xsi:type="dcterms:W3CDTF">2022-09-27T09:39:52Z</dcterms:modified>
</cp:coreProperties>
</file>